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bookViews>
  <sheets>
    <sheet name="Notifications" sheetId="1" r:id="rId1"/>
  </sheets>
  <calcPr fullCalcOnLoad="1"/>
</workbook>
</file>

<file path=xl/sharedStrings.xml><?xml version="1.0" encoding="utf-8"?>
<sst xmlns="http://schemas.openxmlformats.org/spreadsheetml/2006/main" count="5770" uniqueCount="5770">
  <si>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</si>
  <si>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</si>
  <si>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</si>
  <si>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</si>
  <si>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</si>
  <si>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</si>
  <si>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</si>
  <si>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</si>
  <si>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</si>
  <si>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</si>
  <si>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</si>
  <si>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</si>
  <si>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</si>
  <si>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</si>
  <si>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</si>
  <si>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</si>
  <si>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</si>
  <si>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Kenya</t>
  </si>
  <si>
    <t>DARS 171: 2024 Processed tomato concentrates — Specification</t>
  </si>
  <si>
    <t>This Draft African Standard specifies requirements, sampling and test methods for processed tomato concentrates (paste and puree).</t>
  </si>
  <si>
    <t>Vegetables and derived products (ICS code(s): 67.080.20)</t>
  </si>
  <si>
    <t>200290 - Tomatoes, prepared or preserved otherwise than by vinegar or acetic acid (excl. whole or in pieces)</t>
  </si>
  <si>
    <t>67.080.20 - Vegetables and derived products</t>
  </si>
  <si>
    <t>Consumer information, labelling (TBT); Protection of human health or safety (TBT); Quality requirements (TBT); Harmonization (TBT); Reducing trade barriers and facilitating trade (TBT)</t>
  </si>
  <si>
    <t>Food standards</t>
  </si>
  <si>
    <t>Regular notification</t>
  </si>
  <si>
    <d:r xmlns:d="http://schemas.openxmlformats.org/spreadsheetml/2006/main">
      <d:rPr>
        <d:sz val="11"/>
        <d:rFont val="Calibri"/>
      </d:rPr>
      <d:t xml:space="preserve">https://members.wto.org/crnattachments/2024/TBT/KEN/24_06032_00_e.pdf</d:t>
    </d:r>
  </si>
  <si>
    <t>DARS 55:2024 Production, handling and processing of dried fruits and vegetables — Code of practice</t>
  </si>
  <si>
    <t>This draft code of practice applies to fruits and vegetables that have been dried by natural or artificial means or a combination of both. </t>
  </si>
  <si>
    <t>Fruits. Vegetables (ICS code(s): 67.080)</t>
  </si>
  <si>
    <t>0813 - Dried apricots, prunes, apples, peaches, pears, papaws "papayas", tamarinds and other edible fruits, and mixtures of edible and dried fruits or of edible nuts (excl. nuts, bananas, dates, figs, pineapples, avocados, guavas, mangoes, mangosteens, citrus fruit and grapes, unmixed); 0806 - Grapes, fresh or dried; 0805 - Citrus fruit, fresh or dried; 0804 - Dates, figs, pineapples, avocados, guavas, mangoes and mangosteens, fresh or dried; 0803 - Bananas, incl. plantains, fresh or dried; 0802 - Other nuts, fresh or dried, whether or not shelled or peeled (excl. coconuts, Brazil nuts and cashew nuts); 0801 - Coconuts, Brazil nuts and cashew nuts, fresh or dried, whether or not shelled or peeled; 0712 - Dried vegetables, whole, cut, sliced, broken or in powder, but not further prepared</t>
  </si>
  <si>
    <t>67.080 - Fruits. Vegetables</t>
  </si>
  <si>
    <d:r xmlns:d="http://schemas.openxmlformats.org/spreadsheetml/2006/main">
      <d:rPr>
        <d:sz val="11"/>
        <d:rFont val="Calibri"/>
      </d:rPr>
      <d:t xml:space="preserve">https://members.wto.org/crnattachments/2024/TBT/KEN/24_06033_00_e.pdf</d:t>
    </d:r>
  </si>
  <si>
    <t>DARS 179:2024 Jams, jellies and marmalades — Specification</t>
  </si>
  <si>
    <t>This African Standard specifies requirements, sampling and test methods for jams, jellies and marmalades intended for direct human consumption.</t>
  </si>
  <si>
    <t>Non-alcoholic beverages (ICS code(s): 67.160.20)</t>
  </si>
  <si>
    <t>2007 - Jams, fruit jellies, marmalades, fruit or nut purée and fruit or nut pastes, obtained by cooking, whether or not containing added sugar or other sweetening matter</t>
  </si>
  <si>
    <t>67.160.20 - Non-alcoholic beverages</t>
  </si>
  <si>
    <t>Food safety (SPS)</t>
  </si>
  <si>
    <t>Food safety; Human health</t>
  </si>
  <si>
    <t/>
  </si>
  <si>
    <d:r xmlns:d="http://schemas.openxmlformats.org/spreadsheetml/2006/main">
      <d:rPr>
        <d:sz val="11"/>
        <d:rFont val="Calibri"/>
      </d:rPr>
      <d:t xml:space="preserve">https://members.wto.org/crnattachments/2024/SPS/KEN/24_06038_00_e.pdf</d:t>
    </d:r>
  </si>
  <si>
    <t>DARS 472: 2024 Fruits juices, nectars, puree and pulp — Specification</t>
  </si>
  <si>
    <t>This draft African Standard specifies requirements, sampling and test methods for fruit juices, nectars, puree and pulp intended for direct human consumption or for further processing.</t>
  </si>
  <si>
    <t>2009 - Fruit juices, incl. grape must, and vegetable juices, unfermented, not containing added spirit, whether or not containing added sugar or other sweetening matter</t>
  </si>
  <si>
    <d:r xmlns:d="http://schemas.openxmlformats.org/spreadsheetml/2006/main">
      <d:rPr>
        <d:sz val="11"/>
        <d:rFont val="Calibri"/>
      </d:rPr>
      <d:t xml:space="preserve">https://members.wto.org/crnattachments/2024/SPS/KEN/24_06039_00_e.pdf</d:t>
    </d:r>
  </si>
  <si>
    <t>Moldova, Republic of</t>
  </si>
  <si>
    <t>The draft Government Decision regarding recreational craft and personal watercraft; </t>
  </si>
  <si>
    <t>The draft Government Decision regarding recreational craft and personal watercraft lays down requirements for manufacturers, importers and distributors of watercraft, and builds on the legislation adopted in 2011. All recreational craft and personal watercraft identified components and propulsion engines when placed on the domestic market for sale or use are subject to the CE or SM conformity marking, as appropriate. The application of the mark proves that the product complies with the specific technical regulations.</t>
  </si>
  <si>
    <t>SHIPS, BOATS AND FLOATING STRUCTURES (HS code(s): 89)</t>
  </si>
  <si>
    <t>89 - SHIPS, BOATS AND FLOATING STRUCTURES</t>
  </si>
  <si>
    <t>47 - SHIPBUILDING AND MARINE STRUCTURES</t>
  </si>
  <si>
    <d:r xmlns:d="http://schemas.openxmlformats.org/spreadsheetml/2006/main">
      <d:rPr>
        <d:sz val="11"/>
        <d:rFont val="Calibri"/>
      </d:rPr>
      <d:t xml:space="preserve">https://members.wto.org/crnattachments/2024/TBT/MDA/24_06051_00_x.pdf</d:t>
    </d:r>
  </si>
  <si>
    <t>DARS 833: 2024 Fried banana chips — Specification</t>
  </si>
  <si>
    <t>This African Standard specifies the requirements, method of sampling and tests for fried banana chips made from the cooking bananas of the Musa spp intended for human consumption.</t>
  </si>
  <si>
    <t>Consumer information, labelling (TBT); Protection of human health or safety (TBT); Quality requirements (TBT); Harmonization (TBT)</t>
  </si>
  <si>
    <d:r xmlns:d="http://schemas.openxmlformats.org/spreadsheetml/2006/main">
      <d:rPr>
        <d:sz val="11"/>
        <d:rFont val="Calibri"/>
      </d:rPr>
      <d:t xml:space="preserve">https://members.wto.org/crnattachments/2024/TBT/KEN/24_06028_00_e.pdf</d:t>
    </d:r>
  </si>
  <si>
    <t>DARS 472: 2024 Fruits juices, nectars, puree and pulp — Specification</t>
  </si>
  <si>
    <d:r xmlns:d="http://schemas.openxmlformats.org/spreadsheetml/2006/main">
      <d:rPr>
        <d:sz val="11"/>
        <d:rFont val="Calibri"/>
      </d:rPr>
      <d:t xml:space="preserve">https://members.wto.org/crnattachments/2024/TBT/KEN/24_06027_00_e.pdf</d:t>
    </d:r>
  </si>
  <si>
    <t>0813 - Dried apricots, prunes, apples, peaches, pears, papaws "papayas", tamarinds and other edible fruits, and mixtures of edible and dried fruits or of edible nuts (excl. nuts, bananas, dates, figs, pineapples, avocados, guavas, mangoes, mangosteens, citrus fruit and grapes, unmixed); 0806 - Grapes, fresh or dried; 0805 - Citrus fruit, fresh or dried; 0804 - Dates, figs, pineapples, avocados, guavas, mangoes and mangosteens, fresh or dried; 0803 - Bananas, incl. plantains, fresh or dried; 0712 - Dried vegetables, whole, cut, sliced, broken or in powder, but not further prepared</t>
  </si>
  <si>
    <t>Human health; Food safety</t>
  </si>
  <si>
    <d:r xmlns:d="http://schemas.openxmlformats.org/spreadsheetml/2006/main">
      <d:rPr>
        <d:sz val="11"/>
        <d:rFont val="Calibri"/>
      </d:rPr>
      <d:t xml:space="preserve">https://members.wto.org/crnattachments/2024/SPS/KEN/24_06036_00_e.pdf</d:t>
    </d:r>
  </si>
  <si>
    <t>Spain</t>
  </si>
  <si>
    <t>PROYECTO DE REAL DECRETO POR EL QUE SE APRUEBA LA NORMA DE CALIDAD DE LOS ACEITES VEGETALES COMESTIBLES (Draft Royal Decree approving the quality standard for edible vegetable oils) (22 pages, in Spanish)</t>
  </si>
  <si>
    <t>The notified text updates the existing regulations concerning the production and marketing of edible vegetable oils other than olive oil in Spain.</t>
  </si>
  <si>
    <t>Soya-bean oil and its fractions, whether or not refined, but not chemically modified (HS code: 1507); Ground-nut oil and its fractions, whether or not refined, but not chemically modified (HS code: 1508); Sunflower-seed, safflower or cotton-seed oil and fractions thereof, whether or not refined, but not chemically modified (HS code: 1512); Rape, colza or mustard oil and fractions thereof, whether or not refined, but not chemically modified (HS code: 1514); Other fixed vegetable fats and oils (including jojoba oil) and their fractions, whether or not refined, but not chemically modified (HS code: 1515)</t>
  </si>
  <si>
    <t>1507 - Soya-bean oil and its fractions, whether or not refined, but not chemically modified.; 1508 - Ground-nut oil and its fractions, whether or not refined, but not chemically modified.; 1512 - Sunflower-seed, safflower or cotton-seed oil and fractions thereof, whether or not refined, but not chemically modified.; 1514 - Rape, colza or mustard oil and fractions thereof, whether or not refined, but not chemically modified.; 1515 - Other fixed vegetable fats and oils (including jojoba oil) and their fractions, whether or not refined, but not chemically modified.</t>
  </si>
  <si>
    <t>67.200.10 - Animal and vegetable fats and oils</t>
  </si>
  <si>
    <t>Prevention of deceptive practices and consumer protection (TBT); Quality requirements (TBT); Reducing trade barriers and facilitating trade (TBT)</t>
  </si>
  <si>
    <d:r xmlns:d="http://schemas.openxmlformats.org/spreadsheetml/2006/main">
      <d:rPr>
        <d:sz val="11"/>
        <d:rFont val="Calibri"/>
      </d:rPr>
      <d:t xml:space="preserve">https://members.wto.org/crnattachments/2024/TBT/ESP/24_06054_00_s.pdf</d:t>
    </d:r>
  </si>
  <si>
    <t>Ukraine</t>
  </si>
  <si>
    <t>Draft Resolution of the Cabinet of Ministers of Ukraine “On Amendments to the Procedure for Issuing or Refusing to Issue, Re-issuing, Cancellation of Confirmation for Imports into Ukraine and Exports from Ukraine of Seeds and Planting Material Samples of Plant Varieties and Control over their Use”  </t>
  </si>
  <si>
    <t>Ukraine notifies the adoption of the Resolution of the Cabinet of Ministers of Ukraine No. 1035 “On Amendments to the Procedure for Issuing or Refusing to Issue, Re-issuing, Cancellation of Confirmation for Imports into Ukraine and Exports from Ukraine of Seeds and Planting Material Samples of Plant Varieties and Control over their Use” of 06 September 2024.The Resolution was published and entered into force on 11 September 2024.</t>
  </si>
  <si>
    <t>Seeds and planting material </t>
  </si>
  <si>
    <t>65.020.20 - Plant growing; 65.020.20 - Plant growing</t>
  </si>
  <si>
    <t>Prevention of deceptive practices and consumer protection (TBT)</t>
  </si>
  <si>
    <t>Addendum to Regular Notification</t>
  </si>
  <si>
    <d:r xmlns:d="http://schemas.openxmlformats.org/spreadsheetml/2006/main">
      <d:rPr>
        <d:sz val="11"/>
        <d:rFont val="Calibri"/>
      </d:rPr>
      <d:t xml:space="preserve">https://members.wto.org/crnattachments/2024/TBT/UKR/final_measure/24_06050_00_e.pdf
https://members.wto.org/crnattachments/2024/TBT/UKR/final_measure/24_06050_00_x.pdf</d:t>
    </d:r>
  </si>
  <si>
    <t>DARS 54: 2024 Code of hygienic practice for canned fruit and vegetable products</t>
  </si>
  <si>
    <t>This Draft African code of hygienic practice applies to fruit and vegetable products which are packed in hermetically sealed containers and which are processed by heat either before or after being filled into the containers.</t>
  </si>
  <si>
    <t>2008 - Fruits, nuts and other edible parts of plants, prepared or preserved, whether or not containing added sugar or other sweetening matter or spirit (excl. prepared or preserved with vinegar, preserved with sugar but not laid in syrup, and jams, fruit jellies, marmalades, fruit purée and pastes, obtained by cooking); 2005 - Other vegetables prepared or preserved otherwise than by vinegar or acetic acid, not frozen (excl. preserved by sugar, and tomatoes, mushrooms and truffles)</t>
  </si>
  <si>
    <t>Consumer information, labelling (TBT); Prevention of deceptive practices and consumer protection (TBT); Protection of human health or safety (TBT); Quality requirements (TBT); Harmonization (TBT); Reducing trade barriers and facilitating trade (TBT)</t>
  </si>
  <si>
    <d:r xmlns:d="http://schemas.openxmlformats.org/spreadsheetml/2006/main">
      <d:rPr>
        <d:sz val="11"/>
        <d:rFont val="Calibri"/>
      </d:rPr>
      <d:t xml:space="preserve">https://members.wto.org/crnattachments/2024/TBT/KEN/24_06029_00_e.pdf</d:t>
    </d:r>
  </si>
  <si>
    <t>DARS 179:2024 Jams, jellies and marmalades — Specification</t>
  </si>
  <si>
    <t>This African Standard specifies requirements, sampling and test methods for jams, jellies and marmalades intended for direct human consumption</t>
  </si>
  <si>
    <d:r xmlns:d="http://schemas.openxmlformats.org/spreadsheetml/2006/main">
      <d:rPr>
        <d:sz val="11"/>
        <d:rFont val="Calibri"/>
      </d:rPr>
      <d:t xml:space="preserve">https://members.wto.org/crnattachments/2024/TBT/KEN/24_06030_00_e.pdf</d:t>
    </d:r>
  </si>
  <si>
    <d:r xmlns:d="http://schemas.openxmlformats.org/spreadsheetml/2006/main">
      <d:rPr>
        <d:sz val="11"/>
        <d:rFont val="Calibri"/>
      </d:rPr>
      <d:t xml:space="preserve">https://members.wto.org/crnattachments/2024/SPS/KEN/24_06035_00_e.pdf</d:t>
    </d:r>
  </si>
  <si>
    <t>DARS 177: 2024 Processed tomato concentrates — Specification</t>
  </si>
  <si>
    <d:r xmlns:d="http://schemas.openxmlformats.org/spreadsheetml/2006/main">
      <d:rPr>
        <d:sz val="11"/>
        <d:rFont val="Calibri"/>
      </d:rPr>
      <d:t xml:space="preserve">https://members.wto.org/crnattachments/2024/SPS/KEN/24_06037_00_e.pdf</d:t>
    </d:r>
  </si>
  <si>
    <t>Ecuador</t>
  </si>
  <si>
    <t>Proyecto "Normativa Técnica Sanitaria Sustitutiva para la obtención del registro sanitario, control y vigilancia de productos biológicos de uso humano" (Draft Substitute Sanitary Technical Regulation for the issuance of sanitary certificates for, and the control and surveillance of, biological products for human use) (100 pages, in Spanish)</t>
  </si>
  <si>
    <t>The purpose of the notified draft Substitute Sanitary Technical Regulation is to establish the legal and technical requirements that will ensure quality, safety and efficacy and under which sanitary certificates will be issued for biological products for human use, as well as the criteria for the control and surveillance of such products. The following products are not covered by the notified draft Regulation: a. Allergen products prepared on the basis of an individual prescription by a qualified and authorized medical professional; b. Advanced therapy products not industrially manufactured, prepared on occasion by a hospital facility under the exclusive professional responsibility of a trained physician to fulfil an optional individual prescription for a made-to-measure product for a single patient; and c. Research products, which are governed by Ministerial Decision No. 0075-2017 issuing the Regulation for the approval, development, surveillance and control of clinical trials, or any document that might replace it. The draft Substitute Sanitary Technical Regulation is binding on all natural or legal persons, whether domestic or foreign, governed by public or private law, that request sanitary certification, re-certification or an amendment thereto for biological products for human use in the country.</t>
  </si>
  <si>
    <t>The draft Substitute Sanitary Technical Regulation for the issuance of sanitary certificates for, and the control and surveillance of, biological products for human use will replace Ministerial Decision No. 00385-2019 issuing the Regulation for the issuance of sanitary certificates for, and the control and surveillance of, biological medicines for human use and consumption, which was published in the Special Edition of Official Journal No. 1011 of 12 July 2019, and the amendment thereto under Ministerial Decision No. 00226-2023, which was published in Official Journal No. 451 of 5 December 2023. The purpose is to establish the legal and technical requirements that will ensure quality, safety and efficacy and under which sanitary certificates will be issued for biological products for human use, as well as the criteria for the control and surveillance of such products. G/TBT/N/ECU/547 - 2 -</t>
  </si>
  <si>
    <t>11.120 - Pharmaceutics</t>
  </si>
  <si>
    <t>Consumer information, labelling (TBT); Prevention of deceptive practices and consumer protection (TBT); Protection of human health or safety (TBT)</t>
  </si>
  <si>
    <t>Human health</t>
  </si>
  <si>
    <d:r xmlns:d="http://schemas.openxmlformats.org/spreadsheetml/2006/main">
      <d:rPr>
        <d:sz val="11"/>
        <d:rFont val="Calibri"/>
      </d:rPr>
      <d:t xml:space="preserve">https://members.wto.org/crnattachments/2024/TBT/ECU/24_06026_00_s.pdf</d:t>
    </d:r>
  </si>
  <si>
    <t>DARS 177: 2024 Processed tomato concentrates — Specification</t>
  </si>
  <si>
    <d:r xmlns:d="http://schemas.openxmlformats.org/spreadsheetml/2006/main">
      <d:rPr>
        <d:sz val="11"/>
        <d:rFont val="Calibri"/>
      </d:rPr>
      <d:t xml:space="preserve">https://members.wto.org/crnattachments/2024/TBT/KEN/24_06031_00_e.pdf</d:t>
    </d:r>
  </si>
  <si>
    <t>Australia</t>
  </si>
  <si>
    <t>Proposal M1022 – 2023 MRL Harmonisation Proposal: Call for submissions report</t>
  </si>
  <si>
    <t>This Proposal seeks to amend Schedule 20 of the Australia New Zealand Food Standards Code to align maximum residue limits (MRLs) with: (a) the Australian Pesticide and Veterinary Medicines Authority MRL Standard; (b) Codex Alimentarius Commission; and (c) other trading partner standards; relating to residues of agricultural and veterinary (agvet) chemicals in food.This Proposal also includes corrections of typographical and formatting errors, necessary to improve the integrity of Schedule 20.For further information, please contact the MRL Team at FSANZ (MRL.contact@foodstandards.gov.auAgvet chemicals where increased or new MRLs are being considered for specified plant commodities: acibenzolar-S-methyl, aclonifen, afidopyropen, azoxystrobin, benzovindiflupyr, bifenthrin, broflanilide, buprofezin, chlorantraniliprole, chlormequat, cyflufenamid, cyflumetofen, cyhalofop-butyl, cyhalothrin, dichlorprop-P, difenoconazole, diflubenzuron, dimethoate, emamectin, etoxazole, famoxadone, fenazaquin, fenpicoxamid, flazasulfuron, florasulam, fluazaindolizine, fludioxonil, flupyradifurone, flutianil, flutolanil, flutriafol, fluxapyroxad, folpet, fosetyl-aluminium, glyphosate, indaziflam, indoxacarb, inpyrfluxam, mandipropamid, mefentrifluconazole, mesosulfuron-methyl, metaflumizone, metalaxyl, metamitron, metconazole, milbemectin, norflurazon, omethoate, oxathiapiprolin, pinoxaden, prohexadione-calcium, prosulfocarb, pydiflumetofen, pyraflufen-ethyl, pyridate, pyrimethanil, rimsulfuron, simazine, spiromesifen, sulfoxaflor, teflubenzuron, tetraniliprole, triflumuron, trinexapac-ethyl, valifenalate and zoxamide.Agvet chemicals where increased or new MRLs are being considered for specified animal commodities: afidopyropen, broflanilide, chlormequat, dimethoate, emamectin, fenazaquin, flazasulfuron, fluazaindolizine, fludioxonil, flutriafol, indoxacarb, inpyrfluxam, mefentrifluconazole, omethoate, spiromesifen, tetraniliprole, triflumuron.Agvet chemicals where deletions or reductions in MRLs are being proposed for specified plant commodities: azoxystrobin, boscalid, carbofuran, chlorfenapyr, diclofop-methyl, diflubenzuron, dimethoate, famoxadone, fenazaquin, fludioxonil, flumioxazin, fluxapyroxad, folpet, glyphosate, indoxacarb, mandipropamid, mefentrifluconazole, methidathion, piperonyl butoxide, pydiflumetofen, pyraclostrobin, pyrethrins, saflufenacil, tetraniliprole, triflumuronAgvet chemicals where deletions or reductions in MRLs are being proposed for specified animal commodities: fludioxonil and trichlorfon.New chemicals proposed for inclusion in schedule 20 of the Australia New Zealand Food Standards Code are: 1,4-dimethylnaphthalene, flufenoxuron and fluindapyr. Agvet chemicals where consequential amendments were required to (a) add or remove exceptions for some commodities; (b) correct typographical errors; (c) convert a temporary MRL to a permanent MRL; (d) amend or update the commodity name; but there are no changes made to MRLs: amitrole, bixafen, boscalid, broflanilide, buprofezin, butroxydim, carbaryl, carbendazim, chlormequat, cyantraniliprole, 2,4-D, deltamethrin, dichlorvos, diclofop-methyl, difenoconazole, dimethoate, diuron, dodine, EPTC, etoxazole, fenvalerate, fipronil, fluazifop-p-butyl, fludioxonil, fluensulfone, flumioxazin, fluopyram, flupyradifurone, flutriafol, fluxapyroxad, glufosinate and glufosinate-ammonium, glyphosate, mandipropamid, mefentrifluconazole, metaldehyde, metazachlor, metconazole, omethoate, oxathiapiprolin, pendimethalin, phosphine, piperonyl butoxide, propaquizafop, pydiflumetofen, pyraclostrobin, pyrethrins, pyrimethanil, saflufenacil, simazine, triallate, trichlorfon and trifluralin.An agvet chemical where the residue definition is being updated: cyhalofop-butyl.Agvet chemicals where a new or amended All other foods except animal food commodities MRL is being proposed: broflanilide, chlormequat, flutriafol and inpyrfluxam.</t>
  </si>
  <si>
    <t>Foods in general</t>
  </si>
  <si>
    <t>Human health; Food safety; Maximum residue limits (MRLs)</t>
  </si>
  <si>
    <d:r xmlns:d="http://schemas.openxmlformats.org/spreadsheetml/2006/main">
      <d:rPr>
        <d:sz val="11"/>
        <d:rFont val="Calibri"/>
      </d:rPr>
      <d:t xml:space="preserve">https://www.foodstandards.gov.au/food-standards-code/proposals/m1022-2023-mrl-harmonisation-proposal</d:t>
    </d:r>
  </si>
  <si>
    <t>Switzerland</t>
  </si>
  <si>
    <t>Revision of the Ordinance of the Swiss Federal Office of Communications on telecommunications installations (OOIT)Revision, creation and withdrawal of determined radio interface regulations (RIR).</t>
  </si>
  <si>
    <t>Annex 2: Several interface regulations (RIR) are amended in line with the latest technological developments and European harmonization.Following radio interface regulations are withdrawn (784.101.21/ …):RIR0501-05: GSM repeaters in the frequency range 880-960 MHz RIR0501-06: GSM repeaters in the frequency range 1710-1880 MHz RIR0501-09: Repeaters for Mobile/Fixed Communications Networks in the frequency range 1920-2170 MHzRIR0501-13: MFCN (Mobile/Fixed Communications Networks) in the frequency range 2500-2690 MHz.RIR1002-03: Euroloop communications in the frequency range 516 – 8516 kHz.RIR1003-05: Asset tracking and tracing in the frequency band 169.6125-169.8125 MHz.RIR0506-01: Wide area paging in the frequency range 169.4125 - 169.7875 MHz.Following radio interface regulations are amended (784.101.21/ …):RIR0501-10: Mobile Networking Solutions in the frequency range 1805-2170 MHz) aligned with ECC/DEC/(06)07.RIR0501-23: MFCN (Mobile/Fixed Communications Networks) in the frequency range 3500-3800 MHz) adaptation of the licensing regime of user equipment (license-exempt).RIR0501-27: MFCN (Mobile/Fixed Communications Networks) in the frequency range 925-960 adjusted due to new repeater in RIR0501-34.RIR0501-28: MFCN (Mobile/Fixed Communications Networks in the frequency range 758-2690 MHz) adjusted due to new repeater in RIR0501-34.RIR0501-34: MFCN (Mobile/Fixed Communications Networks) in the frequency range 758-2690 MHz): compiles all relevant MFCN repeater RIRs.RIR0506-02: Wide area paging in the frequency range 146.800 – 174.000 MHz) aligned with the ECC/DEC/(05)02.RIR0507-02: PMR analogue communications in the frequency range 146.800 – 174.000 MHz) aligned with the ECC/DEC/(05)02.RIR0507-12: PMR (digital): communications in the frequency range 146.800 – 174.000 MHz) aligned with the ECC/DEC/(05)02.RIR0805-01: Feeder links above 1 GHz in the frequency range 1 – 3000 GHz) extended with the frequency band extensions according to ECC/DEC/(21)01 and ERC/DEC/(00)02.RIR1003-03: Meter reading in the frequency range 169.400-169.475 MHz aligned to ECC/DEC/(05)02 and ECC/REC 70-3, Annex 2.RIR1008-10: Non-specific Short-Range Devices in the frequency range 869.700-870.000 MHz) aligned with ECC/REC 70-3, Annex 1.RIR1008-18: Non-specific Short-Range Devices in the frequency range 433.050-434.790 MHz) aligned with ECC/REC 70-3, Annex 1.RIR1008-19: Non-specific Short-Range Devices in the frequency range 434.040-434.790 MHz) aligned with ECC/REC 70-3, Annex 1.RIR1008-32: Non-specific Short-Range Devices in the frequency range 169.400-169.475 MHz) aligned with ECC/DEC/(05)02 and ECC/REC 70-3, Annex 1.RIR1008-33: Non-specific Short-Range Devices in the frequency range 169.400-169.4875 MHz) the RIR aligned with ECC/REC 70-3, Annex 1.RIR1008-34: Non-specific Short-Range Devices in the frequency range 169.4875-169.5875 MHz) aligned with ECC/REC 70-3, Annex 1.RIR1023-02: Ultra-wide band applications in the frequency range 1600-10600 MHz) aligned with ECC/DEC/(06)04.RIR1023-03: Ultra-wide band applications in the frequency range 1600-10600 MHz): aligned with ECC DEC/(06)04.Following radio interface regulations are created (784.101.21/ …):RIR0501-25: MFCN (Mobile/Fixed Communications Networks) in the 2570 - 2620 MHz frequency band RIR1023-07: Ultra-wide band applications in the frequency range 1600-10600 MHz) extended with new specific UWB applications in the frequency range 6-8.5 GHz, according to ECC/DEC/(06)04.RIR1004-21: High-Definition Ground Based Synthetic Aperture Radar Communications in the frequency range 76-77 GHz according to ECC/DEC/(21)02.Annex 4: Until now, manufacturers were required to submit test reports from an accredited laboratory with their application for approval. As it has proved difficult for manufacturers to find a suitable accredited laboratory, it will now be possible for the manufacturer, who has the necessary knowledge and equipment, to carry out the tests and draw up the reports himself.Annex 5: The technical and administrative requirements for special electronics (PTA 5.2 / PTS 5.3 / PTA 5.4) must be completed to take account of the possibility given to the manufacturer to draw up test reports himself. In addition, certain adaptations have been made necessary by the arrival of programmable broadband disturbances based on software-defined radios.Annex 7: The version of the standard for the USB-C connector has been updates to its newest version (EN IEC 62680-1-2: 2022 and EN IEC 62680-1-3: 2021)</t>
  </si>
  <si>
    <t>Telecommunications. Audio and video engineering (ICS code(s): 33)Telecommunication equipment, radio equipment and telecommunication terminal equipment</t>
  </si>
  <si>
    <t>33 - Telecommunications. Audio and video engineering</t>
  </si>
  <si>
    <t>National security requirements (TBT); Harmonization (TBT)</t>
  </si>
  <si>
    <d:r xmlns:d="http://schemas.openxmlformats.org/spreadsheetml/2006/main">
      <d:rPr>
        <d:sz val="11"/>
        <d:rFont val="Calibri"/>
      </d:rPr>
      <d:t xml:space="preserve">https://members.wto.org/crnattachments/2024/TBT/CHE/24_06025_00_f.pdf</d:t>
    </d:r>
  </si>
  <si>
    <t>DARS 833: 2024 Fried banana chips — Specification</t>
  </si>
  <si>
    <t>This African Standard specifies the requirements, method of sampling and tests for fried banana chips made from the cooking bananas of the Musa spp. intended for human consumption.</t>
  </si>
  <si>
    <d:r xmlns:d="http://schemas.openxmlformats.org/spreadsheetml/2006/main">
      <d:rPr>
        <d:sz val="11"/>
        <d:rFont val="Calibri"/>
      </d:rPr>
      <d:t xml:space="preserve">https://members.wto.org/crnattachments/2024/SPS/KEN/24_06040_00_e.pdf</d:t>
    </d:r>
  </si>
  <si>
    <t>Brazil</t>
  </si>
  <si>
    <t>SDA/MAPA Ordinance No. 1.174, 3 September 2024 </t>
  </si>
  <si>
    <t>Ministry of Agriculture and Livestock approves the technical regulation on identity and quality of dairy beverages.</t>
  </si>
  <si>
    <t>Cheese and curd (HS code(s): 0406); Milk and milk products (ICS code(s): 67.100)</t>
  </si>
  <si>
    <t>0406 - Cheese and curd; 0406 - Cheese and curd</t>
  </si>
  <si>
    <t>67.100 - Milk and milk products; 67.100 - Milk and milk products</t>
  </si>
  <si>
    <t>Consumer information, labelling (TBT); Harmonization (TBT)</t>
  </si>
  <si>
    <t>Food standards; Food standards</t>
  </si>
  <si>
    <d:r xmlns:d="http://schemas.openxmlformats.org/spreadsheetml/2006/main">
      <d:rPr>
        <d:sz val="11"/>
        <d:rFont val="Calibri"/>
      </d:rPr>
      <d:t xml:space="preserve">https://www.in.gov.br/en/web/dou/-/portaria-sda/mapa-n-1.174-de-3-de-setembro-de-2024-582627227</d:t>
    </d:r>
  </si>
  <si>
    <t>Argentina</t>
  </si>
  <si>
    <t>Bicycles - Mandatory Certification System</t>
  </si>
  <si>
    <t xml:space="preserve">Please be advised that, pursuant to Resolution No. 274/2024 of the Secretariat for Industry and Trade of the Ministry of the Economy, SICPYME Resolution No. 220/2003, "mandatory certification system in respect of essential safety requirements for the placing of new bicycles on the market" (G/TBT/N/ARG/151), and the amendments thereto, and SC Resolution No. 281/2018, "technical quality requirements for inner tubes and tyres for bicycles" (G/TBT/N/ARG/151/Add.18), and the amendments thereto, have been revoked. SIC Resolution No. 274/2024: https://www.boletinoficial.gob.ar/detalleAviso/primera/313878/20240913  1 This information can be provided by including a website address, a PDF attachment, or other information on where the text of the final measure/change to the measure/interpretative guidance can be obtained. G/TBT/N/ARG/151/Add.22 - 2 -   Punto Focal OTC-OMC Argentina (Argentine TBT-WTO Focal Point) Dirección Nacional de Reglamentos Técnicos (National Technical Regulation Directorate) Área Obstáculos Técnicos al Comercio (Technical Barriers to Trade Division) Av. Julio A. Roca N° 651 Of. 423 A (C1067ABB) Buenos Aires, Argentina Email: focalotc@produccion.gob.ar __________</t>
  </si>
  <si>
    <t>Bicycles</t>
  </si>
  <si>
    <t>43.150 - Cycles</t>
  </si>
  <si>
    <t>India</t>
  </si>
  <si>
    <t>Refined Zinc (Quality Control) Order, 2024</t>
  </si>
  <si>
    <t>Refined Zinc</t>
  </si>
  <si>
    <t>79 - ZINC AND ARTICLES THEREOF</t>
  </si>
  <si>
    <t>77.120.60 - Lead, zinc, tin and their alloys</t>
  </si>
  <si>
    <t>Prevention of deceptive practices and consumer protection (TBT); Quality requirements (TBT)</t>
  </si>
  <si>
    <d:r xmlns:d="http://schemas.openxmlformats.org/spreadsheetml/2006/main">
      <d:rPr>
        <d:sz val="11"/>
        <d:rFont val="Calibri"/>
      </d:rPr>
      <d:t xml:space="preserve">https://members.wto.org/crnattachments/2024/TBT/IND/24_06001_00_e.pdf</d:t>
    </d:r>
  </si>
  <si>
    <t>Peru</t>
  </si>
  <si>
    <t>Regulations implementing Law No. 31348 providing for the enrichment of rice in Peru</t>
  </si>
  <si>
    <t>The Regulations implementing Law No. 31348 providing for the enrichment of rice in Peru have been approved pursuant to Supreme Decree No. 008-2024-SA and will enter into force six months after their publication in the Official Journal, El Peruano. Ministerio de Comercio Exterior y Turismo, MINCETUR (Ministry of Foreign Trade and Tourism) Calle Uno Oeste Nº 50 - Urb. Corpac - Lima 27 - Peru Tel.: (+51 1) 513 6100, Ext. 1223 and 1239 Email: otc@mincetur.gob.pe __________</t>
  </si>
  <si>
    <t>- Husked (brown) rice (HS Code(s): 1006.20); - Semi-milled or wholly milled rice, whether or not polished or glazed (HS Code(s): 1006.30); - Broken rice (HS code(s): 1006.40)</t>
  </si>
  <si>
    <t>100620 - Husked or brown rice; 100630 - Semi-milled or wholly milled rice, whether or not polished or glazed; 100640 - Broken rice; 100640 - Broken rice; 100630 - Semi-milled or wholly milled rice, whether or not polished or glazed; 100620 - Husked or brown rice</t>
  </si>
  <si>
    <t>67.060 - Cereals, pulses and derived products; 67.060 - Cereals, pulses and derived products</t>
  </si>
  <si>
    <t>Other (TBT)</t>
  </si>
  <si>
    <d:r xmlns:d="http://schemas.openxmlformats.org/spreadsheetml/2006/main">
      <d:rPr>
        <d:sz val="11"/>
        <d:rFont val="Calibri"/>
      </d:rPr>
      <d:t xml:space="preserve">https://members.wto.org/crnattachments/2024/TBT/PER/final_measure/24_06011_00_s.pdf
</d:t>
    </d:r>
  </si>
  <si>
    <t>Resolution – RDC number 421, 1 September 2020</t>
  </si>
  <si>
    <t>Resolution – RDC number 421, 1 September 2020 - previously notified through G/TBT/N/BRA/1087 - which establishes the inclusion of a declaration in the label of products subject to public health surveillance informing the existence of a new formula changing its composition, was revoked by Resolution 902, 06 September 2024.The final text is available only in Portuguese and can be downloaded at: https://antigo.anvisa.gov.br/documents/10181/6862052/RDC_902_2024_.pdf/950e8b74-0cf6-4f4e-8170-5e9c5c2eb07b</t>
  </si>
  <si>
    <t>Products subject to public health surveillance</t>
  </si>
  <si>
    <t>Protection of human health or safety (TBT)</t>
  </si>
  <si>
    <t>Labelling; Labelling</t>
  </si>
  <si>
    <t>Resolution 559, 30 August 2021.</t>
  </si>
  <si>
    <t>Resolution 559, 30 August 2021 - previously notified through G/TBT/N/BRA/1243 - which disposes about market authorization of tobacco - derived smoking products, was revoked by Resolution 896, 27 August 2024.The final text is available only in Portuguese and can be downloaded at: https://antigo.anvisa.gov.br/documents/10181/6856631/RDC_896_2024_.pdf/76cc948f-2d0e-434c-bb68-de696b890022</t>
  </si>
  <si>
    <t>TOBACCO AND MANUFACTURED TOBACCO SUBSTITUTES (HS code(s): 24); Tobacco, tobacco products and related equipment (ICS code(s): 65.160)</t>
  </si>
  <si>
    <t>24 - TOBACCO AND MANUFACTURED TOBACCO SUBSTITUTES; 24 - TOBACCO AND MANUFACTURED TOBACCO SUBSTITUTES</t>
  </si>
  <si>
    <t>65.160 - Tobacco, tobacco products and related equipment; 65.160 - Tobacco, tobacco products and related equipment</t>
  </si>
  <si>
    <t>Human health; Human health</t>
  </si>
  <si>
    <t>Draft Ordinance nº 15, May 14th 2013 - Draft Technical Regulation that establishes requirements to commercialize traditional Chinese medicine products in Brazil</t>
  </si>
  <si>
    <t>Draft Resolution 15, 14 May 2013 - previously notified through G/TBT/N/BRA/532 - which establishes requirements to commercialize traditional Chinese medicine products in Brazil, was adopted as Resolution 901, 06 September 2024.  The final text is available only in Portuguese and can be downloaded at: https://antigo.anvisa.gov.br/documents/10181/6862052/RDC_901_2024_.pdf/09e9ff01-c087-4c15-9849-626c7d42cf30</t>
  </si>
  <si>
    <t>Traditional Chinese Medicine products (HS:30.00)</t>
  </si>
  <si>
    <t>30 - PHARMACEUTICAL PRODUCTS; 30 - PHARMACEUTICAL PRODUCTS</t>
  </si>
  <si>
    <t>11.120.10 - Medicaments; 11.120.10 - Medicaments</t>
  </si>
  <si>
    <t>United States of America</t>
  </si>
  <si>
    <t>Phasedown of Hydrofluorocarbons: Vacated Provisions</t>
  </si>
  <si>
    <t xml:space="preserve">The U.S. Environmental Protection Agency is taking final action to remove regulations from the Code of Federal Regulations (CFR) that have been vacated by the United States Court of Appeals for the District of Columbia Circuit related to the prohibition of disposable cylinders and tracking of cylinders of hydrofluorocarbons.89 Federal Register (FR) 73588, Title 40 Code of Federal Regulations (CFR) Part 84_x000D_
https://www.govinfo.gov/content/pkg/FR-2024-09-11/html/2024-20191.htm_x000D_
https://www.govinfo.gov/content/pkg/FR-2024-09-11/pdf/2024-20191.pdfThis final rule is effective on 11 September 2024 and is identified by Docket Number EPA-HQ-OAR-2024-0065. The Docket Folder is available on Regulations.gov at https://www.regulations.gov/docket/EPA-HQ-OAR-2024-0065/document and provides access to the primary document.The action notified in G/TBT/N/1735/Add.3 is identified by Docket Number EPA-HQ-OAR-2023-0286. The Docket Folder is available on Regulations.gov at https://www.regulations.gov/docket/EPA-HQ-OAR-2023-0286/document and provides access to primary documents. Documents are also accessible from Regulations.gov by searching the Docket Number.The action notified in G/TBT/N/USA/1735/Add.2 is identified by Docket Number EPA-HQ-OAR-2022-0755. The Docket Folder is available on Regulations.gov at https://www.regulations.gov/docket/EPA-HQ-OAR-2022-0755/document and provides access to primary and supporting documents. Documents are also accessible from Regulations.gov by searching the Docket Number.The actions notified in G/TBT/N/USA/1735 and Add.1 are identified by Docket Number EPA-HQ-OAR-2021-0044. The Docket Folder is available on Regulations.gov at https://www.regulations.gov/docket/EPA-HQ-OAR-2021-0044/document and provides access to primary and supporting documents as well as comments received. Documents are also accessible from Regulations.gov by searching the Docket Number.</t>
  </si>
  <si>
    <t>Hydrofluorocarbons</t>
  </si>
  <si>
    <t>13.020 - Environmental protection; 13.020 - Environmental protection; 71.020 - Production in the chemical industry; 71.020 - Production in the chemical industry; 71.100 - Products of the chemical industry; 71.100 - Products of the chemical industry</t>
  </si>
  <si>
    <t>Protection of the environment (TBT)</t>
  </si>
  <si>
    <d:r xmlns:d="http://schemas.openxmlformats.org/spreadsheetml/2006/main">
      <d:rPr>
        <d:sz val="11"/>
        <d:rFont val="Calibri"/>
      </d:rPr>
      <d:t xml:space="preserve">https://members.wto.org/crnattachments/2024/TBT/USA/final_measure/24_06006_00_e.pdf</d:t>
    </d:r>
  </si>
  <si>
    <t>Türkiye</t>
  </si>
  <si>
    <t>The Communiqué on the Amendment of the Turkish Food Codex Communique on Sugar </t>
  </si>
  <si>
    <t>The Turkish Food Codex Communiqué on Sugar was notified in G/SPS/N/TUR/101 and was amended with the notification G/SPS/N/TUR/101/Add.1. Now, this Communiqué has been amended in content about the labelling requirements relating the notification of source which the sugar has obtained from. </t>
  </si>
  <si>
    <t>Sugar</t>
  </si>
  <si>
    <t>1701 - Cane or beet sugar and chemically pure sucrose, in solid form; 1702 - Other sugars, incl. chemically pure lactose, maltose, glucose and fructose, in solid form; sugar syrups not containing added flavouring or colouring matter; artificial honey, whether or not mixed with natural honey; caramel; 1702 - Other sugars, incl. chemically pure lactose, maltose, glucose and fructose, in solid form; sugar syrups not containing added flavouring or colouring matter; artificial honey, whether or not mixed with natural honey; caramel; 1701 - Cane or beet sugar and chemically pure sucrose, in solid form</t>
  </si>
  <si>
    <t>Food safety; Human health; Modification of content/scope of regulation; Human health; Food safety</t>
  </si>
  <si>
    <d:r xmlns:d="http://schemas.openxmlformats.org/spreadsheetml/2006/main">
      <d:rPr>
        <d:sz val="11"/>
        <d:rFont val="Calibri"/>
      </d:rPr>
      <d:t xml:space="preserve">https://members.wto.org/crnattachments/2024/SPS/TUR/24_05999_00_x.pdf</d:t>
    </d:r>
  </si>
  <si>
    <t>No. BEE/S&amp;L/ Ceiling Fan/05/2023-24Bureau of Energy Efficiency (Particulars and Manner of their Display on Labels of Ceiling Fan/05/2023-24), Amendment Regulations, 2024. </t>
  </si>
  <si>
    <t>To direct display of particulars on label on Electric Ceiling Type Fans as specified in the regulations</t>
  </si>
  <si>
    <t>Electric Ceiling Type Fans</t>
  </si>
  <si>
    <t>23.120 - Ventilators. Fans. Air-conditioners</t>
  </si>
  <si>
    <t>Labelling</t>
  </si>
  <si>
    <d:r xmlns:d="http://schemas.openxmlformats.org/spreadsheetml/2006/main">
      <d:rPr>
        <d:sz val="11"/>
        <d:rFont val="Calibri"/>
      </d:rPr>
      <d:t xml:space="preserve">https://members.wto.org/crnattachments/2024/TBT/IND/24_06005_00_e.pdf</d:t>
    </d:r>
  </si>
  <si>
    <t>Costa Rica</t>
  </si>
  <si>
    <t>Resolution governing the importation of fresh pomegranates (Punica granatum) for consumption from Egypt Costa Rica hereby advises that the phytosanitary measures adopted on 11 March 2024 pursuant to Resolution No. 0020-2024-NR-ARP-SFE of the State Phytosanitary Service, Standards and Regulations Department, Pest Risk Analysis Unit, establishing phytosanitary requirements for the importation of fresh pomegranates (Punica granatum) for consumption from Egypt, have entered into force. https://members.wto.org/crnattachments/2024/SPS/CRI/24_05975_00_s.pdf</t>
  </si>
  <si>
    <t>Fresh pomegranates (Punica granatum) for consumption</t>
  </si>
  <si>
    <t>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t>
  </si>
  <si>
    <t>Plant protection (SPS); Protect territory from other damage from pests (SPS)</t>
  </si>
  <si>
    <t>Plant health; Territory protection; Adoption/publication/entry into force of reg.; Territory protection; Plant health</t>
  </si>
  <si>
    <d:r xmlns:d="http://schemas.openxmlformats.org/spreadsheetml/2006/main">
      <d:rPr>
        <d:sz val="11"/>
        <d:rFont val="Calibri"/>
      </d:rPr>
      <d:t xml:space="preserve">https://members.wto.org/crnattachments/2024/SPS/CRI/24_05975_00_s.pdf</d:t>
    </d:r>
  </si>
  <si>
    <t>Public Consultation No. 46, 10 September 2024</t>
  </si>
  <si>
    <t>ANATEL approves Anatel's Regulatory Agenda for the 2025-2026 biennium, in the form of Annexes I and II to this Internal Resolution.</t>
  </si>
  <si>
    <t>Telecommunication equipment</t>
  </si>
  <si>
    <t>33.020 - Telecommunications in general; 33.020 - Telecommunications in general</t>
  </si>
  <si>
    <t>Consumer information, labelling (TBT)</t>
  </si>
  <si>
    <d:r xmlns:d="http://schemas.openxmlformats.org/spreadsheetml/2006/main">
      <d:rPr>
        <d:sz val="11"/>
        <d:rFont val="Calibri"/>
      </d:rPr>
      <d:t xml:space="preserve">https://apps.anatel.gov.br/ParticipaAnatel/VisualizarTextoConsulta.aspx?TelaDeOrigem=2&amp;ConsultaId=20267</d:t>
    </d:r>
  </si>
  <si>
    <t>Refined Nickel (Quality Control) Order, 2024</t>
  </si>
  <si>
    <t>Refined Nickel</t>
  </si>
  <si>
    <t>75 - NICKEL AND ARTICLES THEREOF</t>
  </si>
  <si>
    <t>77.120.40 - Nickel, chromium and their alloys</t>
  </si>
  <si>
    <d:r xmlns:d="http://schemas.openxmlformats.org/spreadsheetml/2006/main">
      <d:rPr>
        <d:sz val="11"/>
        <d:rFont val="Calibri"/>
      </d:rPr>
      <d:t xml:space="preserve">https://members.wto.org/crnattachments/2024/TBT/IND/24_05998_00_e.pdf</d:t>
    </d:r>
  </si>
  <si>
    <t>Chile</t>
  </si>
  <si>
    <t>Proyecto de Protocolo de análisis y/o ensayo de eficiencia de producto eléctrico PE N° 5/34:2024 (Draft efficiency analysis and/or test protocol for electrical products PE No. 5/34:2024) (4 pages, in Spanish)</t>
  </si>
  <si>
    <t>The notified draft Protocol establishes the procedure for certifying the luminous efficacy (Lm/W) of luminaires for outdoor road and street lighting for which certification is mandatory under an SEC protocol.</t>
  </si>
  <si>
    <t>Luminaires for road and street lighting</t>
  </si>
  <si>
    <t>29.140.40 - Luminaires; 93.080.40 - Street lighting and related equipment</t>
  </si>
  <si>
    <d:r xmlns:d="http://schemas.openxmlformats.org/spreadsheetml/2006/main">
      <d:rPr>
        <d:sz val="11"/>
        <d:rFont val="Calibri"/>
      </d:rPr>
      <d:t xml:space="preserve">https://members.wto.org/crnattachments/2024/TBT/CHL/24_05985_00_s.pdf</d:t>
    </d:r>
  </si>
  <si>
    <t>Resolution – RDC number 646, 24 March 2022</t>
  </si>
  <si>
    <t>Resolution 773, 15 February 2023 - previously notified through G/TBT/N/BRA/1341/Add.1 - which contains provisions on the obligation to describe the composition in Portuguese on the labelling of personal hygiene products, cosmetics, nd perfumes, was revoked by Resolution 898, 28 August 2024.The final text is available only in Portuguese and can be downloaded at: https://antigo.anvisa.gov.br/documents/10181/6856654/RDC_898_2024_.pdf/05529364-3316-4e12-afcc-370ab79863eb</t>
  </si>
  <si>
    <t>HS (3303, 3304, 3305, 3306, 3307) - Toiletries, cosmetics and perfumes</t>
  </si>
  <si>
    <t>3304 - Beauty or make-up preparations and preparations for the care of the skin, incl. sunscreen or suntan preparations (excl. medicaments); manicure or pedicure preparations; 3303 - Perfumes and toilet waters (excl. aftershave lotions, personal deodorants and hair lotions); 3305 - Preparations for use on the hair; 3306 - Preparations for oral or dental hygiene, incl. denture fixative pastes and powders; yarn used to clean between the teeth "dental floss", in individual retail packages; 3307 - Shaving preparations, incl. pre-shave and aftershave products, personal deodorants, bath and shower preparations, depilatories and other perfumery, toilet or cosmetic preparations, n.e.s.; prepared room deodorisers, whether or not perfumed or having disinfectant properties; 3307 - Shaving preparations, incl. pre-shave and aftershave products, personal deodorants, bath and shower preparations, depilatories and other perfumery, toilet or cosmetic preparations, n.e.s.; prepared room deodorisers, whether or not perfumed or having disinfectant properties; 3306 - Preparations for oral or dental hygiene, incl. denture fixative pastes and powders; yarn used to clean between the teeth "dental floss", in individual retail packages; 3305 - Preparations for use on the hair; 3304 - Beauty or make-up preparations and preparations for the care of the skin, incl. sunscreen or suntan preparations (excl. medicaments); manicure or pedicure preparations; 3303 - Perfumes and toilet waters (excl. aftershave lotions, personal deodorants and hair lotions)</t>
  </si>
  <si>
    <t>71.100.70 - Cosmetics. Toiletries; 71.100.70 - Cosmetics. Toiletries</t>
  </si>
  <si>
    <t>Draft Resolution of the Cabinet of Ministers of Ukraine "On Approval of the Procedure for State Registration of Hazardous Factors"</t>
  </si>
  <si>
    <t xml:space="preserve">The draft Resolutions provides for the approval of the Procedure for state registration of hazardous factors, which defines the order for state registration of chemical and biological hazardous factors - chemicals and substances of biological origin, as well as those that are part of mixed products, produced and/or used in the territory of Ukraine or imported, and establishes the procedure for maintaining the State register of hazardous factors._x000D_
According to the draft Procedure all individual chemical and biological hazardous factors - chemicals and substances of biological origin, as well as those that are part of the product or mixed product, produced and/or used on the territory of Ukraine or imported are subject to state registration.A hazardous factor that is part of the product is subject to registration if it is intentionally released during the use.  A hazardous factor that is part of a mixed product is subject to registration if the concentration of the hazardous factor that is part of the mixed product is 10 % or more. Additives formed in the process of production or use of substances are registered as individual substances.The state registration of a hazardous factor is carried out by the Ministry of Health of Ukraine on the basis of an application for state registration of a hazardous factor and the results of the examination of registration materials for such a factor conducted by the expert institution, such as the State enterprise "Committee on Hygienic Regulation of the Ministry of Health of Ukraine" (hereinafter referred to as the Committee). The application for state registration of a hazardous factor submitted by the manufacturer or importer shall contain the following:_x000D_
1) full and abbreviated name of the applicant; 2) address of the applicant's location; 3) telephone number and e-mail address; 4) surname, full name, patronymic (if any) of the authorised person; 5) commercial name of the chemical substance or substance of biological origin; 6) chemical name (for a chemical substance) in accordance with the nomenclature of the International Union of Pure and Applied Chemistry (IUPAC) and other international classifiers; 7) registration number of the chemical compound of Chemical Abstacts  Service (CAS) and/or the number of European Inventory of Existing Commercial Chemical Subsyances (EINECS); 8) the scope of application of the hazardous factor.If the production and/or import of a particular chemical and biological hazardous factor is planned by one or more producers and importers, a joint application for state registration of the hazardous factor is submitted.The application for state registration of a hazardous factor is submitted in electronic form through the electronic cabinet of the Register, if the relevant technical capability of submission to the Register is available.  Until the technical capability is introduced, the application may be submitted in written or electronic form.The Committee examines the registration materials on a contractual basis between the Committee and the applicant within 30 calendar days and, based on the results of the examination, prepares an expert conclusion on the possibility of registering a hazardous factor or refusing to register it within 5 calendar days.Based on this conclusion, the Ministry of Health of Ukraine  makes a decision within 15 calendar days on state registration of the hazardous factor or refusal of such registration.A hazardous factor is considered registered from the moment of a registration record is made in the State Register. The state registration of a hazardous factor is indefinite, except in cases specified in the Procedure for State Registration of Hazardous Factors.The State Register of Hazardous Factors is intended to provide electronic services to implement the rights and obligations of applicants for the collection, accumulation and processing of data on hazardous factors registered in Ukraine, who have applied to the Ministry of Health of Ukraine for registration of the factor(s) in accordance with the established procedure.The hazard classification of chemicals and chemical products is based on the Globally Harmonized System of Classification and Labeling of Chemicals (GHS).</t>
  </si>
  <si>
    <t>Chemicals and substances of biological origin, as well as those that are part of mixed products</t>
  </si>
  <si>
    <t>71.100 - Products of the chemical industry</t>
  </si>
  <si>
    <t>Protection of human health or safety (TBT); Protection of the environment (TBT)</t>
  </si>
  <si>
    <t>Revision to Regular Notification</t>
  </si>
  <si>
    <d:r xmlns:d="http://schemas.openxmlformats.org/spreadsheetml/2006/main">
      <d:rPr>
        <d:sz val="11"/>
        <d:rFont val="Calibri"/>
      </d:rPr>
      <d:t xml:space="preserve">https://members.wto.org/crnattachments/2024/TBT/UKR/24_06010_00_x.pdf
https://members.wto.org/crnattachments/2024/TBT/UKR/24_06010_01_x.pdf
https://moz.gov.ua/uk/povidomlennya-pro-oprilyudnennya-doopracovanogo-proyektu-postanovi-kabinetu-ministriv-ukrayini-pro-zatverdzhennya-poryadku-derzhavnoyi-reyestraciyi-nebezpechnih-faktoriv</d:t>
    </d:r>
  </si>
  <si>
    <t>Tin Ingot (Quality Control) Order, 2024</t>
  </si>
  <si>
    <t>Tin Ingot</t>
  </si>
  <si>
    <t>80 - TIN AND ARTICLES THEREOF</t>
  </si>
  <si>
    <d:r xmlns:d="http://schemas.openxmlformats.org/spreadsheetml/2006/main">
      <d:rPr>
        <d:sz val="11"/>
        <d:rFont val="Calibri"/>
      </d:rPr>
      <d:t xml:space="preserve">https://members.wto.org/crnattachments/2024/TBT/IND/24_06002_00_e.pdf</d:t>
    </d:r>
  </si>
  <si>
    <t xml:space="preserve">New Source Performance Standards for the Synthetic Organic 
Chemical Manufacturing Industry and National Emission Standards for 
Hazardous Air Pollutants for the Synthetic Organic Chemical 
Manufacturing Industry and Group I &amp; II Polymers and Resins Industry; 
Correction</t>
  </si>
  <si>
    <t xml:space="preserve">The Environmental Protection Agency (EPA) is making two corrections to the final action that appeared in the Federal Register on 16 May 2024 (notified as G/TBT/N/USA/1995/Add.2). The first correction allows the Office of Federal Register editors to codify and add paragraphs inadvertently removed from that final action in a recent correction published in the Federal Register on 5 July 2024 (notified as G/TBT/N/USA/1995/Add.2/Corr.2). This correction does not alter or change the content or text of any regulatory provision in that final action. The second correction moves the placement of 3 explanatory notes in the regulatory text; this correction does not change the content of the explanatory notes.Effective 12 September 2024.89 Federal Register (FR) 74135, Title 40 Code of Federal Regulations (CFR) Parts 60_x000D_
https://www.govinfo.gov/content/pkg/FR-2024-09-12/html/2024-20646.htm_x000D_
https://www.govinfo.gov/content/pkg/FR-2024-09-12/pdf/2024-20646.pdfThese correcting amendments and previous actions notified under the symbol G/TBT/N/USA/1995 are identified by Docket Number EPA-HQ-OAR-2022-0730. The Docket Folder is available on Regulations.gov at https://www.regulations.gov/docket/EPA-HQ-OAR-2022-0730/document and provides access to primary and supporting documents as well as comments received. Documents are also accessible from Regulations.gov by searching the Docket Number.</t>
  </si>
  <si>
    <t>Synthetic organic chemical manufacturing; polymers and resins; Environmental protection (ICS code(s): 13.020); Air quality (ICS code(s): 13.040); Production in the chemical industry (ICS code(s): 71.020); Organic chemicals (ICS code(s): 71.080); Products of the chemical industry (ICS code(s): 71.100)</t>
  </si>
  <si>
    <t>13.020 - Environmental protection; 13.020 - Environmental protection; 13.020 - Environmental protection; 13.040 - Air quality; 13.040 - Air quality; 13.040 - Air quality; 71.020 - Production in the chemical industry; 71.020 - Production in the chemical industry; 71.020 - Production in the chemical industry; 71.080 - Organic chemicals; 71.080 - Organic chemicals; 71.080 - Organic chemicals; 71.100 - Products of the chemical industry; 71.100 - Products of the chemical industry; 71.100 - Products of the chemical industry</t>
  </si>
  <si>
    <t>Corrigendum to Regular Notification</t>
  </si>
  <si>
    <d:r xmlns:d="http://schemas.openxmlformats.org/spreadsheetml/2006/main">
      <d:rPr>
        <d:sz val="11"/>
        <d:rFont val="Calibri"/>
      </d:rPr>
      <d:t xml:space="preserve">https://members.wto.org/crnattachments/2024/TBT/USA/24_06012_00_e.pdf</d:t>
    </d:r>
  </si>
  <si>
    <t>Di-isononyl phthalate (DINP); Draft Risk Evaluation Under the Toxic Substances Control Act (TSCA); Notice of Availability, Webinar and Request for Comment</t>
  </si>
  <si>
    <t>Notice and announcement of webinar to be held 26 September 2024 2:00 p.m. - 3:00 p.m. EST - The Environmental Protection Agency (EPA or Agency) is announcing the availability of and seeking public comment on a draft risk evaluation under the Toxic Substances Control Act (TSCA) for di-isononyl phthalate (DINP) (1,2-Benzene- dicarboxylic acid, 1,2- diisononyl ester) (CASRN 28553-12-0). The purpose of risk evaluations under TSCA is to determine whether a chemical substance presents an unreasonable risk of injury to health or the environment, without consideration of costs or non-risk factors, including unreasonable risk to potentially exposed or susceptible subpopulations identified as relevant to the risk evaluation by EPA, under the conditions of use (COU). EPA has used the best available science to prepare this draft risk evaluation and to preliminarily determine that DINP poses unreasonable risk to human health.</t>
  </si>
  <si>
    <t>Di-isononyl phthalate (DINP); Environmental protection (ICS code(s): 13.020); Production in the chemical industry (ICS code(s): 71.020); Products of the chemical industry (ICS code(s): 71.100)</t>
  </si>
  <si>
    <t>13.020 - Environmental protection; 71.020 - Production in the chemical industry; 71.100 - Products of the chemical industry</t>
  </si>
  <si>
    <d:r xmlns:d="http://schemas.openxmlformats.org/spreadsheetml/2006/main">
      <d:rPr>
        <d:sz val="11"/>
        <d:rFont val="Calibri"/>
      </d:rPr>
      <d:t xml:space="preserve">https://members.wto.org/crnattachments/2024/TBT/USA/24_06007_00_e.pdf</d:t>
    </d:r>
  </si>
  <si>
    <t>Draft Resolution 1279, 6 September 2024</t>
  </si>
  <si>
    <t>This draft resolution proposes the inclusion of active ingredient  Q06 - CHITOSAN on the Monograph List of Active Ingredients for Pesticides, Household Cleaning Products and Wood Preservatives, which was published by Normative Instruction 103 on 19 October 2021 in the Brazilian Official Gazette (DOU - Diário Oficial da União).</t>
  </si>
  <si>
    <t>Environment. Health protection. Safety (ICS code(s): 13)</t>
  </si>
  <si>
    <t>13 - ENVIRONMENT. HEALTH PROTECTION. SAFETY</t>
  </si>
  <si>
    <d:r xmlns:d="http://schemas.openxmlformats.org/spreadsheetml/2006/main">
      <d:rPr>
        <d:sz val="11"/>
        <d:rFont val="Calibri"/>
      </d:rPr>
      <d:t xml:space="preserve">https://members.wto.org/crnattachments/2024/SPS/BRA/24_06003_00_x.pdf
Draft: https://antigo.anvisa.gov.br/documents/10181/6863763/CONSULTA+P%C3%9ABLICA+N%C2%BA+1279++GGTOX.pdf/6a688a9a-2c54-4764-9cd8-6610a0d1b901
Comment form:  https://pesquisa.anvisa.gov.br/index.php/179284?lang=pt-BR</d:t>
    </d:r>
  </si>
  <si>
    <t xml:space="preserve">The U.S. Environmental Protection Agency is taking final 
action to remove regulations from the Code of Federal Regulations that 
have been vacated by the United States Court of Appeals for the 
District of Columbia Circuit related to the prohibition of disposable 
cylinders and tracking of cylinders of hydrofluorocarbons.&gt;This final rule is effective on 11 September 2024.89 Federal Register (FR) 73588, Title 40 Code of Federal Regulations (CFR) Part 84_x000D_
https://www.govinfo.gov/content/pkg/FR-2024-09-11/html/2024-20191.htm_x000D_
https://www.govinfo.gov/content/pkg/FR-2024-09-11/pdf/2024-20191.pdfThis final rule was also notified as G/TBT/N/USA/1735/Add.4.  It became effective on 11 September 2024 and is identified by Docket Number EPA-HQ-OAR-2024-0065.  The Docket Folder is available on Regulations.gov at https://www.regulations.gov/docket/EPA-HQ-OAR-2024-0065/document and provides access to the primary document.The proposed and final rules notified as G/TBT/N/USA/1938 and Add.1 are identified by Docket Number EPA-HQ-OAR-2022-0430. The Docket Folder for those actions is also available on Regulations.gov at https://www.regulations.gov/docket/EPA-HQ-OAR-2022-0430/document and it provides access to primary and supporting documents as well as comments received. Documents are also accessible from Regulations.gov by searching the Docket Number.</t>
  </si>
  <si>
    <t>Hydrofluorocarbons; Environmental protection (ICS code(s): 13.020); Production in the chemical industry (ICS code(s): 71.020); Products of the chemical industry (ICS code(s): 71.100)</t>
  </si>
  <si>
    <d:r xmlns:d="http://schemas.openxmlformats.org/spreadsheetml/2006/main">
      <d:rPr>
        <d:sz val="11"/>
        <d:rFont val="Calibri"/>
      </d:rPr>
      <d:t xml:space="preserve">https://members.wto.org/crnattachments/2024/TBT/USA/final_measure/24_06008_00_e.pdf</d:t>
    </d:r>
  </si>
  <si>
    <t>Viet Nam</t>
  </si>
  <si>
    <t>Draft National technical regulation on baseline cybersecurity requirements for surveillance camera </t>
  </si>
  <si>
    <t xml:space="preserve">The draft National technical regulation on baseline cybersecurity requirements for surveillance camera specifies baseline requirements for Digital Surveillance Camera using IP Protocol._x000D_
The draft National technical regulation on baseline cybersecurity requirements for surveillance camera is based on ETSI EN 303 645 v2.1.1 (2020-06) and ETSI TS 103 701 v1.1.1 (2021-08) with some modifications to ensure basic information security requirements.</t>
  </si>
  <si>
    <t>Digital Surveillance Camera using IP Protocol (HS code: 8525.60.00; 8525.81.10; 8525.81.90; 8525.82.10; 8525.82.90; 8525.83.10; 8525.83.90; 8525.89.10; 8525.89.90) </t>
  </si>
  <si>
    <t>852560 - Transmission apparatus for radio-broadcasting or television, incorporating reception apparatus; 852581 - High-speed television cameras, digital cameras and video camera recorders specified in subheading note 1 to Ch85; 852582 - Television cameras, digital cameras and video camera recorders, radiation-hardened or radiation-tolerant as specified in subheading note 2 to Ch85 (excl. high-speed); 852583 - Night vision television cameras, digital cameras and video camera recorders as specified in subheading note 3 to Ch85 (excl. high-speed, and radiation-hardened or radiation-tolerant); 852589 - Television cameras, digital cameras and video camera recorders (excl. high-speed, radiation-hardened or radiation-tolerant, and night vision goods)</t>
  </si>
  <si>
    <t>33.160.99 - Other audio, video and audiovisual equipment</t>
  </si>
  <si>
    <t>Quality requirements (TBT)</t>
  </si>
  <si>
    <d:r xmlns:d="http://schemas.openxmlformats.org/spreadsheetml/2006/main">
      <d:rPr>
        <d:sz val="11"/>
        <d:rFont val="Calibri"/>
      </d:rPr>
      <d:t xml:space="preserve">https://members.wto.org/crnattachments/2024/TBT/VNM/24_06000_00_x.pdf</d:t>
    </d:r>
  </si>
  <si>
    <t>Partial amendment to the Sanitary Technical Regulation on the issuance of sanitary certificates for foods for special dietary uses</t>
  </si>
  <si>
    <t xml:space="preserve">Partial amendment to the Sanitary Technical Regulation on the issuance of certificates of sanitary notification and registration for processing plants certified in good manufacturing practices for foods for special dietary uses, and establishments engaged in distribution, marketing and transportation activities  1 This information can be provided by including a website address, a PDF attachment, or other information on where the text of the final measure/change to the measure/interpretative guidance can be obtained. G/TBT/N/ECU/505/Add.3 - 2 -   By means of this Addendum No. 3, the Republic of Ecuador advises that the Sanitary Technical Regulation on the issuance of certificates of sanitary notification and registration for processing plants certified in good manufacturing practices for foods for special dietary uses, and establishments engaged in distribution, marketing and transportation activities, has been partially amended. The Regulation has been issued pursuant to Resolution No. ARCSA-DE-2024-015-DASP of 9 July 2024 by the National Agency for Sanitary Regulation, Control and Surveillance (ARCSA, Doctor Leopoldo Izquieta Pérez). The Technical Sanitary Regulation will enter into force six months after its publication in the Official Journal. Text available from: Ministerio de Producción, Comercio Exterior, Inversiones y Pesca (Ministry of Production, Foreign Trade, Investment and Fisheries), Subsecretaría de Calidad (Under-Secretariat for Quality), Organismo Nacional de Notificación (National Notification Authority) TBT enquiry point: Patricio Álvarez Plataforma Gubernamental de Gestión Financiera - Piso 8, Bloque amarillo, Av. Amazonas entre Unión Nacional de Periodistas y Alfonso Pereira Quito, Ecuador Tel.: (+593-2) 3948760, Ext. 2252/2254 Email: Puntocontacto-OTCECU@produccion.gob.ec palvarezc@produccion.gob.ec PuntocontactoECU@gmail.com cyepez@produccion.gob.ec __________</t>
  </si>
  <si>
    <t xml:space="preserve">The notified Sanitary Technical Regulation seeks to establish the requirements governing the issuance of sanitary certificates for foods for special dietary uses. The notified Sanitary Technical Regulation is mandatory for natural and legal persons, whether domestic or foreign, that are responsible for manufacturing, processing, importing, exporting, storing, distributing or marketing foods for special dietary uses in national territory, including:_x000D_
a) Strained and minced foods, packaged for infants and young children;_x000D_
b) Cereal-based foods for infants and young children;_x000D_
c) Foods for special medicinal uses;_x000D_
d) Foods for special low-sodium dietary uses, including salt substitutes;_x000D_
e) Foods for special dietary uses for persons intolerant to gluten;_x000D_
f) Foods for special dietary uses for weight control;_x000D_
g) First infant formulas;_x000D_
h) Follow-on formulas;</t>
  </si>
  <si>
    <t>67.040 - Food products in general; 67.040 - Food products in general</t>
  </si>
  <si>
    <d:r xmlns:d="http://schemas.openxmlformats.org/spreadsheetml/2006/main">
      <d:rPr>
        <d:sz val="11"/>
        <d:rFont val="Calibri"/>
      </d:rPr>
      <d:t xml:space="preserve">https://members.wto.org/crnattachments/2024/TBT/ECU/final_measure/24_06009_00_s.pdf</d:t>
    </d:r>
  </si>
  <si>
    <t>The Communique on the Amendment of Turkish Food Codex Communique on Sugar </t>
  </si>
  <si>
    <t>Turkish Food Codex Communique on Sugar was notified in G/TBT/N/TUR/121 and was amended with the notification G/TBT/N/TUR/121 /Add.1. Now, this Communique has been amended in content about the labelling requirements relating the notification of source which the sugar has obtained from. </t>
  </si>
  <si>
    <t>67.180.10 - Sugar and sugar products; 67.180.10 - Sugar and sugar products</t>
  </si>
  <si>
    <d:r xmlns:d="http://schemas.openxmlformats.org/spreadsheetml/2006/main">
      <d:rPr>
        <d:sz val="11"/>
        <d:rFont val="Calibri"/>
      </d:rPr>
      <d:t xml:space="preserve">https://members.wto.org/crnattachments/2024/TBT/TUR/modification/24_06004_00_x.pdf</d:t>
    </d:r>
  </si>
  <si>
    <t>Honduras</t>
  </si>
  <si>
    <t>Reglamento de la Ley para el Control y Regulación de las Bebidas Energizantes (Regulations implementing the Law on the Control and Regulation of Energy Drinks) (36 pages, in Spanish)</t>
  </si>
  <si>
    <t>The purpose of the notified Regulations is to establish rules for the sale and marketing of energy drinks and/or products, taking into consideration their characteristics and specifications, with a view to protecting individuals under the age of 18 years. It sets out the requirements that must be met in order to protect human life, health and safety, as well as to promote healthy consumption practices, improve access to, and understanding of, nutritional information and prevent practices likely to mislead or deceive consumers. The notified Regulations are of general interest and are mandatory throughout the national territory for all natural or legal persons engaged in any activity within the supply chain, including the development, handling, manufacture, processing, packaging, storage, transport, marketing, sale, distribution, retail, importation, and promotion and advertising of energy drinks and/or products with the characteristics and specifications thereof.</t>
  </si>
  <si>
    <t>Consumer information, labelling (TBT); Protection of human health or safety (TBT)</t>
  </si>
  <si>
    <d:r xmlns:d="http://schemas.openxmlformats.org/spreadsheetml/2006/main">
      <d:rPr>
        <d:sz val="11"/>
        <d:rFont val="Calibri"/>
      </d:rPr>
      <d:t xml:space="preserve">Sitio Web: https://sde.gob.hn/wp-content/uploads/2024/09/REGLAMENTO_BEBIDAS_ENERGIZANTES.pdf</d:t>
    </d:r>
  </si>
  <si>
    <t>Reglamento Técnico específico que establece los requisitos de etiquetado y los requisitos técnicos de calidad y seguridad que deben cumplir los productos identificados como placas y baldosas cerámicas que se comercialicen en el territorio de la República Argentina (Specific Technical Regulation establishing the labelling and technical quality and safety requirements to be met by products identified as ceramic flags and tiles that are marketed in the Argentine Republic).</t>
  </si>
  <si>
    <t>Please be advised that, pursuant to Resolution No. 236/2024 of the Secretariat of Industry and Trade of the Ministry of the Economy, SCI Resolution No. 910/2021 (Specific Technical Regulation establishing the labelling and technical quality and safety requirements to be met by products identified as ceramic flags and tiles that are marketed in the Argentine Republic), and the amendments and supplements thereto, notified in documents G/TBT/N/ARG/344/Add. 5, Add.6 and Add.7, have been repealed. Resolution No. 236/2024: https://www.boletinoficial.gob.ar/detalleAviso/primera/313096/20240830 SSPYGC Provision No. 1/2024: https://www.boletinoficial.gob.ar/detalleAviso/primera/304860/20240318 DNRT Provision No. 20/2023: https://www.boletinoficial.gob.ar/detalleAviso/primera/291322/20230801 SCI Resolution No. 910/2021: https://www.boletinoficial.gob.ar/detalleAviso/primera/249364/20210910 Punto Focal OTC-OMC Argentina (Argentine TBT-WTO Focal Point) Dirección Nacional de Reglamentos Técnicos (National Technical Regulation Directorate) Área Obstáculos Técnicos al Comercio (Technical Barriers to Trade Division) Av. Julio A. Roca N° 651 Of. 423 A (C1067ABB) Buenos Aires, Argentina Email: focalotc@produccion.gob.ar __________</t>
  </si>
  <si>
    <t>CONSTRUCTION MATERIALS AND BUILDING (ICS code(s): 91)</t>
  </si>
  <si>
    <t>91 - CONSTRUCTION MATERIALS AND BUILDING; 91 - CONSTRUCTION MATERIALS AND BUILDING</t>
  </si>
  <si>
    <t>Consumer information, labelling (TBT); Protection of human health or safety (TBT); Quality requirements (TBT)</t>
  </si>
  <si>
    <t>Final text - Proposal P1028 Infant Formula</t>
  </si>
  <si>
    <t>Through Proposal P1028 — Infant formula, Food Standards Australia New Zealand (FSANZ) has revised and clarified Standards and Schedules relevant to infant formula regulation in the Australia New Zealand Food Standards Code (the Code). The primary objective of Proposal P1028 was to ensure that infant formula products continue to be safe and suitable, while taking account of the latest scientific evidence, market developments, changes in the international regulatory context (including revised Codex Standards ), and revised Australian and New Zealand policy guidance. Amendments have been made to a number of Standards and Schedules in the Code. Standard 2.9.1—Infant formula products contains the primary amendments to the Code. Consequential amendments have been made to an additional seven Standards and five Schedules including:Schedule 29—Special purpose foodsStandard 1.1.2—Definitions used throughout the CodeStandard 1.2.3—Information requirements – warning statements, advisory statements and declarationsStandard 1.3.1—Food additivesStandard 1.5.1—Novel foodsStandard 2.9.2—Food for infantsStandard 2.9.3—Formulated meal replacements and formulated supplementary foodsStandard 2.9.5—Food for special medical purposesSchedule 8—Food additive names and code numbers (for statement of ingredients)Schedule 15—Substances that may be used as food additivesSchedule 19—Maximum levels of contaminants and natural toxicantsSchedule 25—Permitted novel foods.The variations to the Code amend infant formula regulation. Relevant aspects include:re-drafting of Standard 2.9.1 and related provisions in Schedule 29 to reflect the differing requirements for subcategories of infant formula products (infant formula, follow-on formula and special medical purpose products for infants (SMPPi))revised nutrient composition valuesrevised permissions for food additives, contaminants and processing aidsaddition of a definition for SMPPi, and associated revisions on nutrient composition, restriction on sale and standalone labelling permissions reflective of Standard 2.9.5 - Foods for Special Medial Purpose (FSMP)amendments and new provisions regarding safety-related labelling (including directions for use and storage, warning statements and age-related statements) and provision of information (including nutrition information, stage labelling and a prohibition of proxy advertising)amendments to clarify the requirements for novel foods when added to infant formula products.There is a five year transition period, inclusive of stock-in-trade.</t>
  </si>
  <si>
    <t>Infant formula products for sale in Australia and New Zealand, including under HS 190110.</t>
  </si>
  <si>
    <t>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 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</si>
  <si>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t>67.230 - Prepackaged and prepared foods; 67.230 - Prepackaged and prepared foods</t>
  </si>
  <si>
    <d:r xmlns:d="http://schemas.openxmlformats.org/spreadsheetml/2006/main">
      <d:rPr>
        <d:sz val="11"/>
        <d:rFont val="Calibri"/>
      </d:rPr>
      <d:t xml:space="preserve">Gazette notice amendment no. 231: https://www.foodstandards.gov.au/code/changes/gazette/Pages/default.aspx
Australia New Zealand Food Standards Code: https://www.foodstandards.gov.au/code/Pages/default.aspx
</d:t>
    </d:r>
  </si>
  <si>
    <t>"Technical quality and safety requirements for extruded non-alloy aluminium profiles and bars, and aluminium alloy products. Certification"</t>
  </si>
  <si>
    <t xml:space="preserve">Please be advised that, pursuant to Resolution No. 236/2024 of the Secretariat for Industry and Trade of the Ministry of the Economy, SC Resolution No. 158/2018 establishing technical quality requirements for extruded non-alloy aluminium profiles and bars, and aluminium alloy products, notified in document G/TBT/N/ARG/332, is repealed. SIC Resolution No. 236/2024: https://www.boletinoficial.gob.ar/detalleAviso/primera/313096/20240830  1 This information can be provided by including a website address, a PDF attachment, or other information on where the text of the final measure/change to the measure/interpretative guidance can be obtained. G/TBT/N/ARG/332/Add.1 - 2 -   SC Resolution No. 158/228: https://members.wto.org/crnattachments/2018/TBT/ARG/18_1756_00_s.pdf Punto Focal OTC-OMC Argentina (Argentine TBT-WTO Focal Point) Dirección Nacional de Reglamentos Técnicos (National Technical Regulation Directorate) Área Obstáculos Técnicos al Comercio (Technical Barriers to Trade Division) Av. Julio A. Roca N° 651 Of. 423 A (C1067ABB) Buenos Aires, Argentina Email: focalotc@produccion.gob.ar __________</t>
  </si>
  <si>
    <t>Extruded non-alloy aluminium profiles and bars, and aluminium alloy products</t>
  </si>
  <si>
    <t>77.150.10 - Aluminium products; 77.150.10 - Aluminium products</t>
  </si>
  <si>
    <t>Resolution "Technical quality and safety requirements for solar collectors and compact solar systems. Certification"</t>
  </si>
  <si>
    <t xml:space="preserve">Please be advised that, pursuant to Resolution No. 236/2024 of the Secretariat of Industry and Trade of the Ministry of the Economy, SCI Resolution No. 753/2020 ("Technical Regulation establishing the technical quality and safety requirements to be met by solar collectors and compact solar systems that are marketed in the Argentine Republic"), notified in document G/TBT/N/ARG/337/Add.4, and the amendments and supplements thereto, have been repealed. SIC Resolution No. 236/2024: https://www.boletinoficial.gob.ar/detalleAviso/primera/313096/20240830  1 This information can be provided by including a website address, a PDF attachment, or other information on where the text of the final measure/change to the measure/interpretative guidance can be obtained. G/TBT/N/ARG/337/Add.5 - 2 -   SCI Resolution No. 753/2020: https://members.wto.org/crnattachments/2021/TBT/ARG/final_measure/21_0839_00_s.pdf Punto Focal OTC-OMC Argentina (Argentine TBT-WTO Focal Point) Dirección Nacional de Reglamentos Técnicos (National Technical Regulation Directorate) Área Obstáculos Técnicos al Comercio (Technical Barriers to Trade Division) Av. Julio A. Roca N° 651 Of. 423 A (C1067ABB) Buenos Aires, Argentina Email: focalotc@produccion.gob.ar __________</t>
  </si>
  <si>
    <t>Solar collectors and compact solar systems</t>
  </si>
  <si>
    <t>27.160 - Solar energy engineering; 27.160 - Solar energy engineering</t>
  </si>
  <si>
    <t>Protection of human health or safety (TBT); Quality requirements (TBT)</t>
  </si>
  <si>
    <t>Saflufenacil; Pesticide Tolerances. Final Rule</t>
  </si>
  <si>
    <t>This regulation establishes new tolerances for residues of saflufenacil in or on Mint, dried leaves and Mint, fresh leaves and crop group expansions for Fruit, citrus, group 10-10; Fruit, pome, group 11-10; Fruit, stone, group 12-12; and Nut, tree, group 14-12. The Interregional Project Number 4 (IR-4) requested these tolerances under the Federal Food, Drug, and Cosmetic Act (FFDCA).</t>
  </si>
  <si>
    <t>Multiple commodities - Mint, dried leaves, and Mint, fresh leaves and crop group expansions for Fruit, citrus, group 10-10; Fruit, pome, group 11-10; Fruit, stone, group 12-12; and Nut, tree, group 14-12. </t>
  </si>
  <si>
    <d:r xmlns:d="http://schemas.openxmlformats.org/spreadsheetml/2006/main">
      <d:rPr>
        <d:sz val="11"/>
        <d:rFont val="Calibri"/>
      </d:rPr>
      <d:t xml:space="preserve">https://www.govinfo.gov/content/pkg/FR-2024-09-09/html/2024-20256.htm</d:t>
    </d:r>
  </si>
  <si>
    <t>"Regime governing the mandatory certification of compliance with the essential safety requirements for aluminium radiators used in hot-water or steam heating systems" Argentina hereby corrects the date of revocation of the notified measure, advising that it was revoked on 2 September 2024.</t>
  </si>
  <si>
    <t>Radiadores de aluminio utilizados para sistemas de calefacción por agua caliente o vapor.</t>
  </si>
  <si>
    <t>91.140.10 - Central heating systems; 91.140.10 - Central heating systems; 91.140.10 - Central heating systems</t>
  </si>
  <si>
    <t>Primary Lead (Quality Control) Order, 2024.</t>
  </si>
  <si>
    <t>Primary Lead (Quality Control) Order, 2024</t>
  </si>
  <si>
    <t>Primary Lead</t>
  </si>
  <si>
    <t>260700 - Lead ores and concentrates</t>
  </si>
  <si>
    <t>Safety Standard for Soft Infant and Toddler Carriers</t>
  </si>
  <si>
    <t xml:space="preserve">The U.S. Consumer Product Safety Commission's (Commission or 
CPSC) mandatory rule, Safety Standard for Soft Infant and Toddler 
Carriers, incorporates by reference ASTM F2236-14, Standard Consumer 
Safety Specification for Soft Infant and Toddler Carriers. ASTM 
notified the Commission that it has revised this incorporated voluntary 
standard. CPSC seeks comment on whether the revision improves the 
safety of soft infant and toddler carriers.&gt;Comments must be received by 24 September 2024.89 Federal Register (FR) 73320, Title 16 Code of Federal Regulations (CFR) Part 1226https://www.govinfo.gov/content/pkg/FR-2024-09-10/html/2024-20066.htm_x000D_
https://www.govinfo.gov/content/pkg/FR-2024-09-10/pdf/2024-20066.pdfThis action and the previous actions notified under the symbol G/TBT/N/USA/810 are identified by Docket Number CPSC-2013-0014. The Docket Folder is available on Regulations.gov at https://www.regulations.gov/docket/CPSC-2013-0014/document and provides access to primary and supporting documents as well as comments received. Documents are also accessible from Regulations.gov by searching the Docket Number. Comments received by the USA TBT Enquiry Point from WTO Members and their stakeholders by 4pmEastern Time on 24 September 2024 will be shared with CPSC and will also be submitted to the Docket on Regulations.gov if received within the comment period.</t>
  </si>
  <si>
    <t xml:space="preserve">Soft infant and toddler carriers  (HS 9404; ICS 97.190)</t>
  </si>
  <si>
    <t>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pillows, blankets and covers); 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pillows, blankets and covers)</t>
  </si>
  <si>
    <t>97.190 - Equipment for children; 97.190 - Equipment for children</t>
  </si>
  <si>
    <d:r xmlns:d="http://schemas.openxmlformats.org/spreadsheetml/2006/main">
      <d:rPr>
        <d:sz val="11"/>
        <d:rFont val="Calibri"/>
      </d:rPr>
      <d:t xml:space="preserve">https://members.wto.org/crnattachments/2024/TBT/USA/24_05954_00_e.pdf</d:t>
    </d:r>
  </si>
  <si>
    <t>Resolution No. 404/99: Essential safety requirements for steel products to be used in concrete structures and in metallic building structures</t>
  </si>
  <si>
    <t xml:space="preserve">Please be advised that, pursuant to Resolution No. 236/2024 of the Secretariat for Industry and Trade of the Ministry of the Economy, Resolution No. 404/99, "Essential safety requirements for steel products to be used in concrete structures and in metallic building structures" (G/TBT/Notif.99/499), will be repealed as of 23 October 2025. Resolution No. 236/2024, notified in document G/TBT/N/ARG/457, approves the Technical Regulations establishing requirements and key criteria for the quality and safety of products identified as construction materials to be marketed in the Argentine Republic, including the steel products mentioned in Annex II thereto. https://www.boletinoficial.gob.ar/detalleAviso/primera/313096/20240830  1 This information can be provided by including a website address, a PDF attachment, or other information on where the text of the final measure/change to the measure/interpretative guidance can be obtained. G/TBT/Notif.99/499/Add.3 - 2 -   Punto Focal OTC-OMC Argentina (Argentine TBT-WTO Focal Point) Dirección Nacional de Reglamentos Técnicos (National Technical Regulation Directorate) Área Obstáculos Técnicos al Comercio (Technical Barriers to Trade Division) Av. Julio A. Roca N° 651 Of. 423 A (C1067ABB) Buenos Aires, Argentina Email: focalotc@produccion.gob.ar __________</t>
  </si>
  <si>
    <t>Steel products for concrete structures, metallic building structures</t>
  </si>
  <si>
    <t>77.140 - Iron and steel products</t>
  </si>
  <si>
    <t>Draft Resolution 1278, 6 September 2024</t>
  </si>
  <si>
    <t>This draft resolution proposes the update of active ingredients  A29 - ACETAMIPRID, A66 - INDOLACETIC ACID, B26 - BIFENTRINE, C47 - CYPRODINIL, E26 - SPIROMESIFEN, E33 - SPIROPIDIONE, F46 - FLUMIOXAZINE, F49 - FLUDIOXONIL, F72 - FLUOPYRAM, M01 - MALTHIONE, M02 - MANCOZEB, O01 - Ó VEGETABLE OIL, O02 - MINERAL OIL, Q05.1 - QUIZALOFOPE-P ETHYLIC, S13 - S-METOLACHLORINE, S20 - SACCHAROMYCES CEREVISIAE, T28 - TRICLOPIR BUTYLIC and T70 - TOLFENPYRADE on the Monograph List of Active Ingredients for Pesticides, Household Cleaning Products and Wood Preservatives, which was published by Normative Instruction 103 on 19 October 2021 in the Brazilian Official Gazette (DOU - Diário Oficial da União).</t>
  </si>
  <si>
    <d:r xmlns:d="http://schemas.openxmlformats.org/spreadsheetml/2006/main">
      <d:rPr>
        <d:sz val="11"/>
        <d:rFont val="Calibri"/>
      </d:rPr>
      <d:t xml:space="preserve">https://members.wto.org/crnattachments/2024/SPS/BRA/24_05943_00_x.pdf
Draft: https://antigo.anvisa.gov.br/documents/10181/6862701/CONSULTA+P%C3%9ABLICA+n%C2%BA+1278_2024+-+Monografia+Agrot%C3%B3xicos+-+GGTOX.pdf/e1a68f11-60c7-4120-ae24-f2991ab711a3
Comment form:  http://pesquisa.anvisa.gov.br/index.php/997726?lang=pt-BR</d:t>
    </d:r>
  </si>
  <si>
    <t>Regulatory framework establishing the basic quality and safety principles and requirements applicable to construction products. Certification.</t>
  </si>
  <si>
    <t xml:space="preserve">Please be advised that, pursuant to Resolution No. 236/2024 of the Secretariat for Industry and Trade of the Ministry of the Economy, SC Resolution No. 21/2018 approving the Technical Framework Regulations establishing requirements and key criteria for the quality and safety of construction products, notified in document G/TBT/N/ARG/344, has been repealed. Resolution No. 236/2024 approves the Technical Regulations establishing requirements and key criteria for the quality and safety of products identified as construction materials to be marketed in the Argentine Republic (G/TBT/N/ARG/457).  1 This information can be provided by including a website address, a PDF attachment, or other information on where the text of the final measure/change to the measure/interpretative guidance can be obtained. G/TBT/N/ARG/344/Add.8 - 2 -   https://www.boletinoficial.gob.ar/detalleAviso/primera/313096/20240830 SC Resolution No. 21/2018: https://members.wto.org/crnattachments/2018/TBT/ARG/18_5018_00_s.pdf Punto Focal OTC-OMC Argentina (Argentine TBT-WTO Focal Point) Dirección Nacional de Reglamentos Técnicos (National Technical Regulation Directorate) Área Obstáculos Técnicos al Comercio (Technical Barriers to Trade Division) Av. Julio A. Roca N° 651 Of. 423 A (C1067ABB) Buenos Aires, Argentina Email: focalotc@produccion.gob.ar __________</t>
  </si>
  <si>
    <t>Canada</t>
  </si>
  <si>
    <t>Proposed Maximum Residue Limit: Rimsulfuron (PMRL2024-16)</t>
  </si>
  <si>
    <t>The objective of the notified document PMRL2024-16 is to consult on the listed maximum residue limit (MRL) for rimsulfuron that has been proposed by Health Canada’s Pest Management Regulatory Agency (PMRA).MRL (ppm)1 Raw Agricultural Commodity (RAC) and/or Processed Commodity0.01            Pome fruits (crop group 11-09)1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</si>
  <si>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rimsulfuron in or on pome fruits (ICS codes: 65.020, 65.100, 67.040, 67.080)</t>
  </si>
  <si>
    <t>65.020 - Farming and forestry; 65.100 - Pesticides and other agrochemicals; 67.040 - Food products in general; 67.080 - Fruits. Vegetables</t>
  </si>
  <si>
    <t>Modification to the List of permitted emulsifying, gelling, stabilizing or thickening agents to extend the use of polyglycerol esters of interesterified castor oil fatty acids</t>
  </si>
  <si>
    <t>Health Canada’s Food and Nutrition Directorate completed a pre-market safety and efficacy assessment of polyglycerol esters of interesterified castor oil fatty acids for use as an emulsifying agent in the requested foods.The results of the assessment support the safety and efficacy of polyglycerol esters of interesterified castor oil fatty acids for use as an emulsifying for the requested use. Therefore, Health Canada has authorized the use of polyglycerol esters of interesterified castor oil fatty acids as described in the information document referenced above by modifying the List of Permitted Emulsifying, Gelling, Stabilizing or Thickening Agentseffective 10 September 2024.The purpose of the information document is to publicly announce the Department's decision in this regard and to provide the appropriate contact information for those wishing to submit an inquiry or new scientific information relevant to the safety of this food additive.</t>
  </si>
  <si>
    <t>Polyglycerol esters of interesterified castor oil fatty acids (ICS code: 67.220.20)</t>
  </si>
  <si>
    <t>67.220.20 - Food additives</t>
  </si>
  <si>
    <t>Modification to the List of permitted food additives with other accepted uses to remove brominated vegetable oil</t>
  </si>
  <si>
    <t>The purpose of this notice is to inform consumers and interested stakeholders that Health Canada’s Food and Nutrition Directorate has modified the List of permitted food additives with other accepted uses by removing brominated vegetable oil.The above modification came into force on 30 August 2024, the day on which it is published in the List of permitted food additives with other accepted uses</t>
  </si>
  <si>
    <t>Brominated vegetable oil(ICS code: 67.220.20)</t>
  </si>
  <si>
    <t>151800 - Animal or vegetable fats and oils and their fractions, boiled, oxidised, dehydrated, sulphurised, blown, polymerised by heat in vacuum or in inert gas or otherwise chemically modified, inedible mixtures or preparations of animal or vegetable fats or oils or of fractions of different fats or oils, n.e.s.; 151800 - Animal or vegetable fats and oils and their fractions, boiled, oxidised, dehydrated, sulphurised, blown, polymerised by heat in vacuum or in inert gas or otherwise chemically modified, inedible mixtures or preparations of animal or vegetable fats or oils or of fractions of different fats or oils, n.e.s.</t>
  </si>
  <si>
    <t>67.220.20 - Food additives; 67.220.20 - Food additives</t>
  </si>
  <si>
    <t>Human health; Adoption/publication/entry into force of reg.; Food safety; Human health; Food safety</t>
  </si>
  <si>
    <t>Chinese Taipei</t>
  </si>
  <si>
    <t>The Draft Amendment to the Regulations for Systematic Inspection of Imported Food</t>
  </si>
  <si>
    <t>The draft amendment to the Regulations for Systematic Inspection of Imported Food is open for comment.</t>
  </si>
  <si>
    <t>Meet products, fishery products, diary products, egg products, animal oil products, products of bovine origin and products of deer origin</t>
  </si>
  <si>
    <d:r xmlns:d="http://schemas.openxmlformats.org/spreadsheetml/2006/main">
      <d:rPr>
        <d:sz val="11"/>
        <d:rFont val="Calibri"/>
      </d:rPr>
      <d:t xml:space="preserve">https://members.wto.org/crnattachments/2024/SPS/TPKM/24_05923_00_e.pdf</d:t>
    </d:r>
  </si>
  <si>
    <t>Proposed Maximum Residue Limit: Clomazone (PMRL2024-17)</t>
  </si>
  <si>
    <t>The objective of the notified document PMRL2024-17 is to consult on the listed maximum residue limit (MRL) for clomazone that has been proposed by Health Canada’s Pest Management Regulatory Agency (PMRA).MRL (ppm)1 Raw Agricultural Commodity (RAC) and/or Processed Commodity0.05            Pulses, dried shelled beans, except soybeans (crop subgroup 6-21E)1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</si>
  <si>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clomazone in or on dry beans (ICS codes: 65.020, 65.100, 67.040, 67.060) </t>
  </si>
  <si>
    <t>65.020 - Farming and forestry; 65.100 - Pesticides and other agrochemicals; 67.040 - Food products in general; 67.060 - Cereals, pulses and derived products</t>
  </si>
  <si>
    <t>United Arab Emirates</t>
  </si>
  <si>
    <t>Greek Style Yoghurt</t>
  </si>
  <si>
    <t>This Gulf standard specifies the requirements that must be met in Greek-style yogurt intended for direct human consumption and does not include other sweetened or flavoured types</t>
  </si>
  <si>
    <t>Food products in general (ICS code(s): 67.040)</t>
  </si>
  <si>
    <t>040320 - Yogurt, whether or not flavoured or containing added sugar or other sweetening matter, fruit, nuts, cocoa, chocolate, spices, coffee, plants, cereals or bakers' wares</t>
  </si>
  <si>
    <t>67.040 - Food products in general</t>
  </si>
  <si>
    <t>Consumer information, labelling (TBT); Prevention of deceptive practices and consumer protection (TBT)</t>
  </si>
  <si>
    <d:r xmlns:d="http://schemas.openxmlformats.org/spreadsheetml/2006/main">
      <d:rPr>
        <d:sz val="11"/>
        <d:rFont val="Calibri"/>
      </d:rPr>
      <d:t xml:space="preserve">https://members.wto.org/crnattachments/2024/TBT/QAT/24_05963_00_x.pdf</d:t>
    </d:r>
  </si>
  <si>
    <t>Modification to the List of permitted food enzymes to authorize the use of lipase from a new source</t>
  </si>
  <si>
    <t>Health Canada’s Food and Nutrition Directorate completed a premarket safety assessment of lipase from Rhizopus arrhizus (also known as Rhizopus delemar var. multiplicisporus and Rhizopus oryzae) strain AE-TL, for use as a food enzyme in the manufacture of modified fats and oils.The results of the assessment support the safety of lipase from R arrhizus AE-TLfor its requested use. Therefore, Health Canada has authorized the use of lipase from R arrhizus AE-TL, as described in the information document above by modifying the List of Permitted Food Enzymes, effective 6 September 2024.The purpose of the information document is to publicly announce the Department's decision in this regard and to provide the appropriate contact information for those wishing to submit an inquiry or new scientific information relevant to the safety of this food additive.</t>
  </si>
  <si>
    <t>Lipase from Rhizopus arrhizus AE-TL (ICS code: 67.220.20)</t>
  </si>
  <si>
    <t>350790 - Enzymes and prepared enzymes, n.e.s. (excl. rennet and concentrates thereof)</t>
  </si>
  <si>
    <t>Bahrain, Kingdom of</t>
  </si>
  <si>
    <t>Qatar</t>
  </si>
  <si>
    <t>Modification to the List of permitted food enzymes to authorize the use of maltogenic alpha-amylase from a new source</t>
  </si>
  <si>
    <t>Health Canada's Food and Nutrition Directorate completed a premarket safety assessment of a food additive submission seeking authorization for the use of maltogenic alpha-amylase from Saccharomyces cerevisiae LALL-M+ in the manufacture of bread, flour, whole wheat flour, and unstandardized bakery products.The results of the premarket assessment support the safety of maltogenic alpha-amylase from S. cerevisiae LALL-M+ for its requested uses. Consequently, Health Canada has authorized the use of maltogenic alpha-amylase from S. cerevisiae LALL-M+ as described in the information document above by modifying the List of permitted food enzymes,    effective 6 September 2024.The purpose of the information document is to publicly announce the Department's decision in this regard and to provide the appropriate contact information for those wishing to submit an inquiry or new scientific information relevant to the safety of this food additive.</t>
  </si>
  <si>
    <t>Maltogenic alpha-amylase from Saccharomyces cerevisiae LALL-M+ (ICS code: 67.220.20)</t>
  </si>
  <si>
    <t>Russian Federation</t>
  </si>
  <si>
    <t>Letter of the Federal Service for Veterinary and Phytosanitary Surveillance No. FS-ARe-7/6145-3 as of 10 September 2024</t>
  </si>
  <si>
    <t>This letter introduces a temporary restriction on imports of products mentioned in point 3 as well as the transit of cattle, small cattle and animals susceptible to bluetongue from Norway to the territory of the Russian Federation due to the registration of bluetongue disease outbreaks.</t>
  </si>
  <si>
    <t>Cattle; small cattle; wild, zoo and circus animals susceptible to bluetongue, camels and other members of the camel family - llamas, alpacas, vicunas; sperm of bulls, sheep and goat-producers; in vitro cattle and small cattle embryos (HS code(s): 0102; 0104; 0106; 051199)</t>
  </si>
  <si>
    <t>0102 - Live bovine animals; 0104 - Live sheep and goats; 0106 - Live animals (excl. horses, asses, mules, hinnies, bovine animals, swine, sheep, goats, poultry, fish, crustaceans, molluscs and other aquatic invertebrates, and microorganic cultures etc.); 051199 - Products of animal origin, n.e.s., dead animals, unfit for human consumption (excl. fish, crustaceans, molluscs or other aquatic invertebrates)</t>
  </si>
  <si>
    <t>Animal health (SPS)</t>
  </si>
  <si>
    <t>Animal health; Animal diseases; Bluetongue</t>
  </si>
  <si>
    <t>Norway</t>
  </si>
  <si>
    <t>Emergency notifications (SPS)</t>
  </si>
  <si>
    <d:r xmlns:d="http://schemas.openxmlformats.org/spreadsheetml/2006/main">
      <d:rPr>
        <d:sz val="11"/>
        <d:rFont val="Calibri"/>
      </d:rPr>
      <d:t xml:space="preserve">https://members.wto.org/crnattachments/2024/SPS/RUS/24_05970_00_x.pdf
https://fsvps.gov.ru/files/ukazanie-rosselhoznadzora-ot-10-sentjabrja-2024-goda-fs-arje-7-6145-3/</d:t>
    </d:r>
  </si>
  <si>
    <t>New Zealand</t>
  </si>
  <si>
    <t>Cutting lead levels in paints: proposed amendments to group standards.</t>
  </si>
  <si>
    <t>In accordance with article 2.9.2 of the WTO, New Zealand notified the proposal to amend group standards that regulate paints and graphic materials in order to reduce the maximum allowable levels of lead in paint and ensure the protection of human health and the environment.The proposals have now been adopted and include the following changes, most coming into effect 1 March 2025:lead impurities in all paints covered by the Surface Coatings and Colourants Group Standards and Aerosols Group Standards must not exceed 90 ppmanti-rust paints using the Corrosion Inhibitors Group Standards now must also meet the 90 ppm lead impurity limitsimporters and manufacturers must have test results (or other evidence) showing compliance with the lead limitspaint used on toys and cots must meet the EN 71-3:2019+A1:2021 standard, and any paint that does not meet these requirements must include on the label the precautionary statement "Not suitable for use on children's toys or cots"all art materials marketed to children are only covered by the Graphic Materials Group Standardart materials using the Graphic Materials Group Standard must meet the lower element migration levels in the EN 71-3:2019+A1:2021 standardleachable element notification requirement from the Graphic Materials Group Standard is no longer necessary (effective 19 September 2024). Any non-compliant stock must be disposed of by 1 September 2025.</t>
  </si>
  <si>
    <t>Paint products, including under HS heading 3208 and 3209Graphic materials, including under HS heading 9608 and 9609</t>
  </si>
  <si>
    <t>3209 - Paints and varnishes, incl. enamels and lacquers, based on synthetic polymers or chemically modified natural polymers, dispersed or dissolved in an aqueous medium; 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 3209 - Paints and varnishes, incl. enamels and lacquers, based on synthetic polymers or chemically modified natural polymers, dispersed or dissolved in an aqueous medium; 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t>
  </si>
  <si>
    <t>87.040 - Paints and varnishes; 87.040 - Paints and varnishes</t>
  </si>
  <si>
    <d:r xmlns:d="http://schemas.openxmlformats.org/spreadsheetml/2006/main">
      <d:rPr>
        <d:sz val="11"/>
        <d:rFont val="Calibri"/>
      </d:rPr>
      <d:t xml:space="preserve">https://gazette.govt.nz/notice/id/2024-au4158 
https://www.epa.govt.nz/public-consultations/decided/lead-in-paints/
</d:t>
    </d:r>
  </si>
  <si>
    <t>Proyecto de Resolución Directoral que establece los requisitos fitosanitarios para la importación de material de propagación de paulownia (Paulownia tomentosa y Paulownia elongata) de origen y procedencia Argentina (Draft Directorial Resolution establishing phytosanitary requirements for the importation of Paulownia (Paulownia tomentosa and Paulownia elongata) propagation material originating in and coming from Argentina)</t>
  </si>
  <si>
    <t>The notified draft phytosanitary requirements for the importation of Paulownia (Paulownia tomentosa and Paulownia elongata) propagation material originating in and coming from Argentina are being submitted for public consultation following the completion of the pest-risk analysis.</t>
  </si>
  <si>
    <t>Paulownia tomentosa plants, in vitro plants and cuttings; Paulownia elongata plants and roots (HS code: 0602)</t>
  </si>
  <si>
    <t>0602 - Live plants incl. their roots, cuttings and slips; mushroom spawn (excl. bulbs, tubers, tuberous roots, corms, crowns and rhizomes, and chicory plants and roots)</t>
  </si>
  <si>
    <t>Plant protection (SPS)</t>
  </si>
  <si>
    <t>Plant health</t>
  </si>
  <si>
    <d:r xmlns:d="http://schemas.openxmlformats.org/spreadsheetml/2006/main">
      <d:rPr>
        <d:sz val="11"/>
        <d:rFont val="Calibri"/>
      </d:rPr>
      <d:t xml:space="preserve">https://members.wto.org/crnattachments/2024/SPS/PER/24_05942_00_s.pdf</d:t>
    </d:r>
  </si>
  <si>
    <t>Oman</t>
  </si>
  <si>
    <t>Israel</t>
  </si>
  <si>
    <t>SI 682 Part 1 - Children's cots and folding cots for domestic use: Safety requirements</t>
  </si>
  <si>
    <t xml:space="preserve">The proposed standard revision of SI 682 part 1 was published in Israel's Official Gazette no. 11452 on 9 September 2024 and entered into force immediately._x000D_
Nevertheless, the previous edition (October 2015) will remain in force until 9 September 2025. During this time, products are required to comply with either the old or the newly revised standards.</t>
  </si>
  <si>
    <t>Children's cots and folding cots for domestic use</t>
  </si>
  <si>
    <t>9403 - Furniture and parts thereof, n.e.s. (excl. seats and medical, surgical, dental or veterinary furniture); 9403 - Furniture and parts thereof, n.e.s. (excl. seats and medical, surgical, dental or veterinary furniture)</t>
  </si>
  <si>
    <t>97.140 - Furniture; 97.190 - Equipment for children; 97.140 - Furniture; 97.190 - Equipment for children</t>
  </si>
  <si>
    <t>Protection of human health or safety (TBT); Harmonization (TBT)</t>
  </si>
  <si>
    <d:r xmlns:d="http://schemas.openxmlformats.org/spreadsheetml/2006/main">
      <d:rPr>
        <d:sz val="11"/>
        <d:rFont val="Calibri"/>
      </d:rPr>
      <d:t xml:space="preserve">https://www.sii.org.il/en/standards-search</d:t>
    </d:r>
  </si>
  <si>
    <t>Draft Sanitation Standard for Food Cleansers</t>
  </si>
  <si>
    <t>The Separate Customs Territory of Taiwan, Penghu, Kinmen and Matsu announces that the Draft Sanitation Standard for Food Cleansers, dated 15 March 2024 (G/SPS/N/TPKM/624) has now been finalized. The final version of the Standard had entered into force on 11 September 2024.</t>
  </si>
  <si>
    <t>The disinfect substances used to clean food</t>
  </si>
  <si>
    <t>Adoption/publication/entry into force of reg.; Human health; Food safety; Human health; Food safety</t>
  </si>
  <si>
    <d:r xmlns:d="http://schemas.openxmlformats.org/spreadsheetml/2006/main">
      <d:rPr>
        <d:sz val="11"/>
        <d:rFont val="Calibri"/>
      </d:rPr>
      <d:t xml:space="preserve">https://members.wto.org/crnattachments/2024/SPS/TPKM/24_05950_00_e.pdf
https://members.wto.org/crnattachments/2024/SPS/TPKM/24_05950_00_x.pdf</d:t>
    </d:r>
  </si>
  <si>
    <t xml:space="preserve">Availability of FSIS Guideline on Substantiating Animal-Raising 
or Environment-Related Labeling Claims</t>
  </si>
  <si>
    <t>Notification of availability and request for comments - The Food Safety and Inspection Service (FSIS) is announcing the availability of an updated version of its guideline on documentation needed to support animal-raising or environment-related claims on meat or poultry product labeling.  Official establishments submit this documentation to the Agency when they apply for approval of labels with animal-raising or environment- related claims. The updated guideline includes changes made in response to updated scientific information, FSIS sampling data, ask FSIS questions, public comments, petitions, and other meetings with Agency stakeholders.</t>
  </si>
  <si>
    <t>Labels of meat and poultry products; Food products in general (ICS code(s): 67.040); Meat, meat products and other animal produce (ICS code(s): 67.120)</t>
  </si>
  <si>
    <t>67.040 - Food products in general; 67.120 - Meat, meat products and other animal produce</t>
  </si>
  <si>
    <d:r xmlns:d="http://schemas.openxmlformats.org/spreadsheetml/2006/main">
      <d:rPr>
        <d:sz val="11"/>
        <d:rFont val="Calibri"/>
      </d:rPr>
      <d:t xml:space="preserve">https://members.wto.org/crnattachments/2024/TBT/USA/24_05953_00_e.pdf
https://members.wto.org/crnattachments/2024/TBT/USA/24_05953_01_e.pdf</d:t>
    </d:r>
  </si>
  <si>
    <t>Kuwait, the State of</t>
  </si>
  <si>
    <t>Saudi Arabia, Kingdom of</t>
  </si>
  <si>
    <t>Yemen</t>
  </si>
  <si>
    <t>SI 682 Part 2 - Children's cots and folding cots for domestic use: Test methods</t>
  </si>
  <si>
    <t xml:space="preserve">The proposed standard revision of SI 682 part 2 was published in Israel's Official Gazette no. 11452 on 9 September 2024 and entered into force immediately._x000D_
Nevertheless, the previous edition (October 2015) will remain in force until 9 September 2025. During this time, products are required to comply with either the old or the newly revised standards.</t>
  </si>
  <si>
    <t>Draft Resolution 1265, 14 June 2024</t>
  </si>
  <si>
    <t>Draft Resolution 1265, 14 June 2024 - previously notified through   G/SPS/N/BRA/2309  - was adopted as Normative Instruction 315, 4 September 2024. The regulation proposes the update of active ingredients A04 - GIBERELLIC ACID, A26 - AZOXYSTROBINE, A29 - ACETAMIPRID, A38 - ACIBENZOLAR - S-METHYLIC, B26 - BIFENTRINE, B46 - BENZOVINDIFLUPYR, C29 -CHLORIMUROM ETHYLIC, C36 - CYPROCONAZOLE, C64 - CHLOTHIANIDINE, C66 - CYAZOFAMIDA, C70 - CHLORANTRANILIPROLE, C74 - CYANTRANILIPROLE, D36 - DIFENOCONE, E34 - SPIDOXAMATE, F49 - FLUDIOXONIL, F66 - FLUBENDIAMIDE, F75 - FLUCARBAZONE SODIUM, M31 - METALAXIL - M, T12 - TIABENDAZOLE, and T48 - THIAMETOXAM on the Monograph List of Active Ingredients for Pesticides, Household Cleaning Products and Wood Preservatives, which was published by Normative Instruction 103 on 19 October 2021 in the Brazilian Official Gazette (DOU - Diário Oficial da União). The final text is available only in Portuguese and can be downloaded at:</t>
  </si>
  <si>
    <t>13 - ENVIRONMENT. HEALTH PROTECTION. SAFETY; 13 - ENVIRONMENT. HEALTH PROTECTION. SAFETY</t>
  </si>
  <si>
    <t>Adoption/publication/entry into force of reg.; Human health; Food safety; Maximum residue limits (MRLs); Maximum residue limits (MRLs); Food safety; Human health</t>
  </si>
  <si>
    <d:r xmlns:d="http://schemas.openxmlformats.org/spreadsheetml/2006/main">
      <d:rPr>
        <d:sz val="11"/>
        <d:rFont val="Calibri"/>
      </d:rPr>
      <d:t xml:space="preserve">https://members.wto.org/crnattachments/2024/SPS/BRA/24_05922_00_x.pdf
https://antigo.anvisa.gov.br/documents/10181/6771913/IN_315_2024_.pdf/48298825-cef8-4308-859b-cbff61a3a1ea</d:t>
    </d:r>
  </si>
  <si>
    <t>Korea, Republic of</t>
  </si>
  <si>
    <t>Proposed revision of the “Enforcement Rule of the Special Act on Imported Food Safety Control”</t>
  </si>
  <si>
    <t xml:space="preserve">- Prepare legal grounds to mitigate administrative disposition for Good Importer who satisfies certain requirements such as having no non-compliance history for last three years, etc.;_x000D_
- Set the period that a laboratory test is applied for same company and same imported food, etc. which is re-imported after having been found to be non-compliant.</t>
  </si>
  <si>
    <t>Foods</t>
  </si>
  <si>
    <d:r xmlns:d="http://schemas.openxmlformats.org/spreadsheetml/2006/main">
      <d:rPr>
        <d:sz val="11"/>
        <d:rFont val="Calibri"/>
      </d:rPr>
      <d:t xml:space="preserve">https://members.wto.org/crnattachments/2024/SPS/KOR/24_05888_00_x.pdf</d:t>
    </d:r>
  </si>
  <si>
    <t>SDA/MAPA ORDINANCE No. 1.175, of 2 September 2024 - Establishes the phytosanitary requirements for the import of in vitro seedlings of Aglaonema spp. from any origin</t>
  </si>
  <si>
    <t>This ordinance establishes the phytosanitary requirements for the import of in vitro seedlings (Category 4) of Aglaonema spp. from any origin.</t>
  </si>
  <si>
    <t>Seedlings of Aglaonema spp.</t>
  </si>
  <si>
    <t>060290 - Live plants, incl. their roots, and mushroom spawn (excl. bulbs, tubers, tuberous roots, corms, crowns and rhizomes, incl. chicory plants and roots, unrooted cuttings and slips, fruit and nut trees, rhododendrons, azaleas and roses)</t>
  </si>
  <si>
    <t>Plant health; Territory protection</t>
  </si>
  <si>
    <d:r xmlns:d="http://schemas.openxmlformats.org/spreadsheetml/2006/main">
      <d:rPr>
        <d:sz val="11"/>
        <d:rFont val="Calibri"/>
      </d:rPr>
      <d:t xml:space="preserve">https://members.wto.org/crnattachments/2024/SPS/BRA/24_05910_00_x.pdf
https://www.in.gov.br/en/web/dou/-/portaria-sda/mapa-n-1.175-de-2-de-setembro-de-2024-582627673</d:t>
    </d:r>
  </si>
  <si>
    <t>Colombia</t>
  </si>
  <si>
    <t>Resolution No. 00010003 of 8 August 2024 prohibiting the importation, manufacturing, registration, marketing and use in the national territory of all chemical forms of polymyxin E (colistin) and polymyxin B for animals The Republic of Colombia hereby advises that it has issued Resolution No. 00010003 of 8 August 2024 prohibiting the importation, manufacturing, registration, marketing and use in the national territory of all chemical forms of polymyxin E (colistin) and polymyxin for animals. The Resolution was published in Official Journal No. 52.843 of 9 August 2024, the date on which it entered into force, and repeals ICA Resolution No. 22747 of 2018, as well as any conflicting provisions. https://www.ica.gov.co/getattachment/0e4fd47d-1f72-4eee-8d29-a1508e08362c/2024R00010003.aspx https://members.wto.org/crnattachments/2024/SPS/COL/24_05879_00_s.pdf</t>
  </si>
  <si>
    <t>Additives</t>
  </si>
  <si>
    <t>2309 - Preparations of a kind used in animal feeding; 2941 - Antibiotics; 3004 - Medicaments consisting of mixed or unmixed products for therapeutic or prophylactic uses, put up in measured doses "incl. those in the form of transdermal administration" or in forms or packings for retail sale (excl. goods of heading 3002, 3005 or 3006); 3004 - Medicaments consisting of mixed or unmixed products for therapeutic or prophylactic uses, put up in measured doses "incl. those in the form of transdermal administration" or in forms or packings for retail sale (excl. goods of heading 3002, 3005 or 3006); 2309 - Preparations of a kind used in animal feeding; 2941 - Antibiotics</t>
  </si>
  <si>
    <t>Food safety (SPS); Protect humans from animal/plant pest or disease (SPS)</t>
  </si>
  <si>
    <t>Animal health; Human health; Adoption/publication/entry into force of reg.; Food safety; Animal feed; Feed additives; Feed additives; Human health; Animal health; Animal feed; Food safety</t>
  </si>
  <si>
    <d:r xmlns:d="http://schemas.openxmlformats.org/spreadsheetml/2006/main">
      <d:rPr>
        <d:sz val="11"/>
        <d:rFont val="Calibri"/>
      </d:rPr>
      <d:t xml:space="preserve">https://members.wto.org/crnattachments/2024/SPS/COL/24_05879_00_s.pdf
https://www.ica.gov.co/getattachment/0e4fd47d-1f72-4eee-8d29-a1508e08362c/2024R00010003.aspx</d:t>
    </d:r>
  </si>
  <si>
    <t>Japan</t>
  </si>
  <si>
    <t>Elimination of 32 food additives that are no longer distributed in Japan from the List of Existing Food Additives (Revision of the List of Existing Food Additives prescribed in the Food Sanitation Act)</t>
  </si>
  <si>
    <t>32 food additives that have been found to be no longer distributed in the Japanese market are supposed to be prohibited for their use within one year.The food additives are listed in the Public Notice of the Consumer Affairs Agency No. 11 of 5 September 2024 requesting public comments. These additives will be withdrawn from the List of Existing Food Additives in the MHLW Notification No. 120 of 16 April 1996.</t>
  </si>
  <si>
    <t>Food additives</t>
  </si>
  <si>
    <d:r xmlns:d="http://schemas.openxmlformats.org/spreadsheetml/2006/main">
      <d:rPr>
        <d:sz val="11"/>
        <d:rFont val="Calibri"/>
      </d:rPr>
      <d:t xml:space="preserve">https://members.wto.org/crnattachments/2024/SPS/JPN/24_05889_00_e.pdf
https://members.wto.org/crnattachments/2024/SPS/JPN/24_05889_01_e.pdf</d:t>
    </d:r>
  </si>
  <si>
    <t>Revision of the Specifications and Standards for Foods, Food Additives, Etc</t>
  </si>
  <si>
    <t>Revision of the specifications and standards for apparatus, containers, and packaging under the Food Sanitation Act (Act No. 233 of 1947)</t>
  </si>
  <si>
    <t>Apparatus, containers, and packaging</t>
  </si>
  <si>
    <d:r xmlns:d="http://schemas.openxmlformats.org/spreadsheetml/2006/main">
      <d:rPr>
        <d:sz val="11"/>
        <d:rFont val="Calibri"/>
      </d:rPr>
      <d:t xml:space="preserve">https://members.wto.org/crnattachments/2024/SPS/JPN/24_05876_00_e.pdf</d:t>
    </d:r>
  </si>
  <si>
    <t>Normative Instruction number 161, 01 July 2022</t>
  </si>
  <si>
    <t>Normative Instruction number 161, 01 July 2022 - previously notified through G/TBT/N/BRA/1418  - which establishes microbiological standards of food, was changed by Normative Instruction 313, 04 September 2024.</t>
  </si>
  <si>
    <t>FOOD TECHNOLOGY (ICS code(s): 67)</t>
  </si>
  <si>
    <t>67 - FOOD TECHNOLOGY; 67 - FOOD TECHNOLOGY</t>
  </si>
  <si>
    <d:r xmlns:d="http://schemas.openxmlformats.org/spreadsheetml/2006/main">
      <d:rPr>
        <d:sz val="11"/>
        <d:rFont val="Calibri"/>
      </d:rPr>
      <d:t xml:space="preserve">https://members.wto.org/crnattachments/2024/TBT/BRA/modification/24_05878_00_x.pdf</d:t>
    </d:r>
  </si>
  <si>
    <t>Proyecto de Resolución para regular la importación de tubérculos de Camote (Ipomoea batatas) para consumo originarias de República Dominicana (Draft Resolution governing the importation, for consumption, of sweet potatoes (Ipomoea batatas) from the Dominican Republic)</t>
  </si>
  <si>
    <t>The notified draft Resolution establishes phytosanitary measures for the importation, for consumption, of sweet potatoes (Ipomoea batatas) from the Dominican Republic.</t>
  </si>
  <si>
    <t>Fresh sweet potatoes (HS code(s): 071420)</t>
  </si>
  <si>
    <t>071420 - Sweet potatoes, fresh, chilled, frozen or dried, whether or not sliced or in the form of pellets</t>
  </si>
  <si>
    <t>Dominican Republic</t>
  </si>
  <si>
    <d:r xmlns:d="http://schemas.openxmlformats.org/spreadsheetml/2006/main">
      <d:rPr>
        <d:sz val="11"/>
        <d:rFont val="Calibri"/>
      </d:rPr>
      <d:t xml:space="preserve">https://members.wto.org/crnattachments/2024/SPS/CRI/24_05883_00_s.pdf</d:t>
    </d:r>
  </si>
  <si>
    <t>Proyecto de Resolución para regular la importación de plantas con raíz de Olivo (Olea europaea) para propagación originarias de México (Draft Resolution governing the importation, for propagation, of rooted olive (Olea europaea) plants from Mexico)</t>
  </si>
  <si>
    <t>The notified draft Resolution establishes the phytosanitary measures governing the importation, for propagation, of rooted olive (Olea europaea) plants from Mexico.</t>
  </si>
  <si>
    <t>Live olive (Olea europaea) plants, including their roots (HS code(s): 060290)</t>
  </si>
  <si>
    <t>Mexico</t>
  </si>
  <si>
    <d:r xmlns:d="http://schemas.openxmlformats.org/spreadsheetml/2006/main">
      <d:rPr>
        <d:sz val="11"/>
        <d:rFont val="Calibri"/>
      </d:rPr>
      <d:t xml:space="preserve">https://members.wto.org/crnattachments/2024/SPS/CRI/24_05884_00_s.pdf</d:t>
    </d:r>
  </si>
  <si>
    <t>Dairy and Dairy Products- Pasteurized Camel Milk. </t>
  </si>
  <si>
    <t>Item No. 9.4 in GSO 1970:2009 For Dairy and Dairy Products-Pasteurized Camel Milk will be amended to (the percentage of non-fat solids shall not be less than 7%).  </t>
  </si>
  <si>
    <t>Pasteurized Camel Milk </t>
  </si>
  <si>
    <t>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0402 - Milk and cream, concentrated or containing added sugar or other sweetening matter; 0401 - Milk and cream, not concentrated nor containing added sugar or other sweetening matter</t>
  </si>
  <si>
    <t>67.100.10 - Milk and processed milk products</t>
  </si>
  <si>
    <d:r xmlns:d="http://schemas.openxmlformats.org/spreadsheetml/2006/main">
      <d:rPr>
        <d:sz val="11"/>
        <d:rFont val="Calibri"/>
      </d:rPr>
      <d:t xml:space="preserve">https://members.wto.org/crnattachments/2024/TBT/OMN/24_05925_00_x.pdf
</d:t>
    </d:r>
  </si>
  <si>
    <t>Egypt</t>
  </si>
  <si>
    <t>Draft of Egyptian standard for " Assistive products for walking manipulated by both arms — Requirements and test methods — Part 1: Walking frames" (34 page(s), in English)</t>
  </si>
  <si>
    <t>This draft of Egyptian standard specifies requirements and test methods for walking frames used as assistive products for walking, manipulated by both arms, without accessories, unless specified in the particular test procedure. This document also gives requirements relating to safety, ergonomics, performance and information supplied by the manufacturer, including marking and labelling.The requirements and tests are based on everyday use of walking frames as assistive products for walking for a maximum user mass as specified by the manufacturer. This document includes walking frames specified for a user mass of no less than 35 kg.Worth mentioning is that this Draft standard adopts the technical content of ISO 11199-1:2021.</t>
  </si>
  <si>
    <t>Aids and adaptation for moving (ICS code(s): 11.180.10)</t>
  </si>
  <si>
    <t>11.180.10 - Aids and adaptation for moving</t>
  </si>
  <si>
    <t>Draft Resolution approving the coordinated and consolidated text of the Resolution establishing import requirements for underground structures for the vegetative propagation of ornamental species; updating requirements for the species indicated and repealing Resolution No. 3.418 of 2002 At the request of third countries, the final date for comments in respect of notification G/SPS/N/CHL/727/Rev.1 has been extended to 13 October 2024. https://members.wto.org/crnattachments/2024/SPS/CHL/24_05892_00_s.pdf</t>
  </si>
  <si>
    <t>Underground structures for the vegetative propagation of ornamental species</t>
  </si>
  <si>
    <t>Modification of final date for comments; Plant health; Pests; Pests; Plant health</t>
  </si>
  <si>
    <d:r xmlns:d="http://schemas.openxmlformats.org/spreadsheetml/2006/main">
      <d:rPr>
        <d:sz val="11"/>
        <d:rFont val="Calibri"/>
      </d:rPr>
      <d:t xml:space="preserve">https://members.wto.org/crnattachments/2024/SPS/CHL/24_05892_00_s.pdf</d:t>
    </d:r>
  </si>
  <si>
    <t xml:space="preserve">Perfluoroalkyl and Polyfluoroalkyl Substances (PFAS) Data 
Reporting and Recordkeeping Under the Toxic Substances Control Act 
(TSCA); Change to Submission Period and Technical Correction</t>
  </si>
  <si>
    <t xml:space="preserve">Proposed rule; change to submission period and technical correction - The Environmental Protection Agency (EPA or Agency) is proposing to amend the Toxic Substances Control Act (TSCA) regulation with reporting and recordkeeping requirements for perfluoroalkyl and polyfluoroalkyl substances (PFAS) that was finalized on 11 October 2023. The final rule (notified as G/TBT/N/USA/1742/Add.3) requires manufacturers (including importers) of PFAS in any year between 2011-2022 to report certain information to EPA beginning 12 November 2024. EPA is proposing a one-time modification of the data submission period and a technical correction to amend a typographical error in the regulatory text. EPA is not proposing any changes to the scope of reporting under TSCA. EPA has concluded that a change to the submission period is necessary and in the public interest as the reporting application being developed to collect this data will not be fully functional by November 2024. The proposed revision of the submission period would facilitate compliance with the rule and help ensure that the collection includes accurate data on manufactured PFAS in the United States. EPA thus believes the proposed amendments are necessary and does not expect to receive any adverse comments. Therefore, in addition to this notice of proposed rulemaking, in the “Rules and Regulations” section of this issue of the Federal Register, EPA is promulgating the submission period modification and technical correction as a direct final rule. For more information on this proposal, please refer to the direct final rule (notified as G/TBT/N/USA/1742/Add.4)._x000D_
</t>
  </si>
  <si>
    <t>Perfluoroalkyl and Polyfluoroalkyl substances; Environmental protection (ICS code(s): 13.020); Production in the chemical industry (ICS code(s): 71.020); Products of the chemical industry (ICS code(s): 71.100)</t>
  </si>
  <si>
    <t>Prevention of deceptive practices and consumer protection (TBT); Protection of the environment (TBT)</t>
  </si>
  <si>
    <d:r xmlns:d="http://schemas.openxmlformats.org/spreadsheetml/2006/main">
      <d:rPr>
        <d:sz val="11"/>
        <d:rFont val="Calibri"/>
      </d:rPr>
      <d:t xml:space="preserve">https://members.wto.org/crnattachments/2024/TBT/USA/24_05872_00_e.pdf</d:t>
    </d:r>
  </si>
  <si>
    <t>Partial amendment to the Substitute Sanitary Technical Regulation on the issuance of sanitary certificates for, and the control of, hygiene products for industrial use, hospital-grade disinfectant hygiene products, food-grade disinfectants, and the establishments where they are manufactured, assembled, stored, distributed, imported and marketed</t>
  </si>
  <si>
    <t xml:space="preserve">Resolution ARCSA-DE-2024-037-DASP partially amending the Substitute Sanitary Technical Regulation on the issuance of sanitary certificates for, and the control of, hygiene products for industrial use, hospital-grade disinfectant hygiene products, food-grade disinfectants, and the  1 This information can be provided by including a website address, a PDF attachment, or other information on where the text of the final measure/change to the measure/interpretative guidance can be obtained. G/TBT/N/ECU/526/Add.1 - 2 -   establishments where they are manufactured, assembled, stored, distributed, imported and marketed, published in Official Journal No. 350 of 18 October 2018 By means of this Addendum 1, the Republic of Ecuador advises that the Substitute Sanitary Technical Regulation on the issuance of sanitary certificates for, and the control of, hygiene products for industrial use, hospital-grade disinfectant hygiene products, food-grade disinfectants, and the establishments where they are manufactured, assembled, stored, distributed, imported and marketed, has been partially amended. The Regulation has been issued pursuant to Resolution ARCSA-DE-2024-037-DASP of 31 July 2024 of the National Agency for Sanitary Regulation, Control and Surveillance (ARCSA, Doctor Leopoldo Izquieta Pérez). The Regulation will enter into force six months after its signature, without prejudice to its publication in the Official Journal. Text available from: Ministerio de Producción, Comercio Exterior, Inversiones y Pesca (Ministry of Production, Foreign Trade, Investment and Fisheries), Subsecretaría de Calidad (Under-Secretariat for Quality), Organismo Nacional de Notificación (National Notification Authority) TBT enquiry point: Patricio Álvarez Plataforma Gubernamental de Gestión Financiera - Piso 8, Bloque amarillo, Av. Amazonas entre Unión Nacional de Periodistas y Alfonso Pereira Quito, Ecuador Tel.: (+593-2) 3948760, Ext. 2252/2254 Email: Puntocontacto-OTCECU@produccion.gob.ec palvarezc@produccion.gob.ec PuntocontactoECU@gmail.com cyepez@produccion.gob.ec __________</t>
  </si>
  <si>
    <t>Proyecto normativo “Reforma parcial a la normativa técnica sanitaria sustitutiva para la obtención de la notificación sanitaria y control de los productos higiénicos de uso industrial, productos higiénicos desinfectantes de uso hospitalario, productos desinfectantes de grado alimentario y de los establecimientos en donde se fabrican, maquilan, almacenan, distribuyen, importan y comercializan, publicada en registro oficial no. 350 de 18 de octubre de 2018”.</t>
  </si>
  <si>
    <t>11.080 - Sterilization and disinfection; 11.080 - Sterilization and disinfection; 71.100.35 - Chemicals for industrial and domestic disinfection purposes; 71.100.35 - Chemicals for industrial and domestic disinfection purposes</t>
  </si>
  <si>
    <d:r xmlns:d="http://schemas.openxmlformats.org/spreadsheetml/2006/main">
      <d:rPr>
        <d:sz val="11"/>
        <d:rFont val="Calibri"/>
      </d:rPr>
      <d:t xml:space="preserve">https://members.wto.org/crnattachments/2024/TBT/ECU/final_measure/24_05874_00_s.pdf</d:t>
    </d:r>
  </si>
  <si>
    <t>Revision of the Specifications and Standards for Foods, Food Additives, Etc. </t>
  </si>
  <si>
    <t>Revision of the specifications and standards for apparatus, containers, and packaging under the Food Sanitation Act (Act No.233 of 1947).</t>
  </si>
  <si>
    <t>55.020 - Packaging and distribution of goods in general</t>
  </si>
  <si>
    <d:r xmlns:d="http://schemas.openxmlformats.org/spreadsheetml/2006/main">
      <d:rPr>
        <d:sz val="11"/>
        <d:rFont val="Calibri"/>
      </d:rPr>
      <d:t xml:space="preserve">https://members.wto.org/crnattachments/2024/TBT/JPN/24_05877_00_e.pdf</d:t>
    </d:r>
  </si>
  <si>
    <t>Technical quality and safety requirements for plywood. Certification</t>
  </si>
  <si>
    <t xml:space="preserve">Please be advised that, pursuant to Resolution No. 236/2024 of the Secretariat for Industry and Trade of the Ministry of the Economy, Resolution No. 900/2017 on technical quality and safety requirements for plywood (G/TBT/N/ARG/329), and the amendments and supplements thereto, will be repealed as of 23 October 2025. Resolution No. 236/2024, notified in document G/TBT/N/ARG/457, approves the Technical Regulations establishing requirements and key criteria for the quality and safety of products identified as construction materials to be marketed in the Argentine Republic, including plywood panels. https://www.boletinoficial.gob.ar/detalleAviso/primera/313096/20240830  1 This information can be provided by including a website address, a PDF attachment, or other information on where the text of the final measure/change to the measure/interpretative guidance can be obtained. G/TBT/N/ARG/329/Add.2 - 2 -   Punto Focal OTC-OMC Argentina (Argentine TBT-WTO Focal Point) Dirección Nacional de Reglamentos Técnicos (National Technical Regulation Directorate) Área Obstáculos Técnicos al Comercio (Technical Barriers to Trade Division) Av. Julio A. Roca N° 651 Of. 423 A (C1067ABB) Buenos Aires, Argentina Email: focalotc@produccion.gob.ar __________</t>
  </si>
  <si>
    <t>Plywood</t>
  </si>
  <si>
    <t>79.060.10 - Plywood; 79.060.10 - Plywood</t>
  </si>
  <si>
    <t>Phenol; Revoking Exemption From the Requirement of a Pesticide Tolerance</t>
  </si>
  <si>
    <t>This regulation revokes the tolerance exemption for residues of the antimicrobial pesticide ingredient phenol when used as an inert ingredient (solvent/cosolvent) in pesticide formulations applied to growing crops. This rulemaking is established on the Agency's own initiative under the Federal Food, Drug, and Cosmetic Act (FFDCA) to implement a tolerance action the Agency determined was appropriate during the registration review conducted under the Federal Insecticide, Fungicide, and Rodenticide Act (FIFRA) for phenol.</t>
  </si>
  <si>
    <t>Multiple commodities</t>
  </si>
  <si>
    <d:r xmlns:d="http://schemas.openxmlformats.org/spreadsheetml/2006/main">
      <d:rPr>
        <d:sz val="11"/>
        <d:rFont val="Calibri"/>
      </d:rPr>
      <d:t xml:space="preserve">https://www.govinfo.gov/content/pkg/FR-2024-08-30/html/2024-19531.htm</d:t>
    </d:r>
  </si>
  <si>
    <t>Normative Instruction number 161, 1 July 2022</t>
  </si>
  <si>
    <t>Normative Instruction number 161, 1 July 2022 - previously notified through   G/SPS/N/BRA/2103 - was changed by Normative Instruction 313, 4 September 2024. The regulation establishes the microbiological patterns of foods.This regulation will also be notified in the TBT Committee.The final text is available only in Portuguese and can be downloaded at:</t>
  </si>
  <si>
    <t>Food Technology (ICS code(s): 67)</t>
  </si>
  <si>
    <t>Modification of content/scope of regulation; Food safety; Human health; Food safety; Human health</t>
  </si>
  <si>
    <d:r xmlns:d="http://schemas.openxmlformats.org/spreadsheetml/2006/main">
      <d:rPr>
        <d:sz val="11"/>
        <d:rFont val="Calibri"/>
      </d:rPr>
      <d:t xml:space="preserve">https://members.wto.org/crnattachments/2024/SPS/BRA/24_05920_00_x.pdf
https://antigo.anvisa.gov.br/documents/10181/6725320/IN_313_2024_.pdf/e5474f55-7d25-4535-a248-3c178370973c</d:t>
    </d:r>
  </si>
  <si>
    <t>Prevention of Air Pollution from Consumer Products</t>
  </si>
  <si>
    <t xml:space="preserve">Proposed rule - The New Jersey Department of Environmental Protection (NJDEP) is proposing amendments to N.J.A.C. 7:27-24.1 through 24.8, 24.10, and 7:27A-3.10. The proposed amendments to the rules governing chemically formulated consumer products will add eight new categories of consumer products that will be subject to new volatile organic compound (VOC) content limits and lower the VOC content limits for 13 existing categories. The proposed amendments also prohibit the sale for use in New Jersey of certain products that contain chlorinated toxic air contaminants. The proposed amendments also update registration requirements for all consumer products to require registration to be electronic. Additionally, the proposed rulemaking includes amendments to the penalty provisions at N.J.A.C. 7:27A-3.10 that correspond to the amendments at N.J.A.C. 7:27-24.The proposal also constitutes a revision to New Jersey’s State Implementation Plan (SIP) for the attainment and maintenance of the National Ambient Air Quality Standards for ozone._x000D_
</t>
  </si>
  <si>
    <t>Volatile organic compound (VOC) content limits in consumer products; Environmental protection (ICS code(s): 13.020); Air quality (ICS code(s): 13.040); Products of the chemical industry (ICS code(s): 71.100)</t>
  </si>
  <si>
    <t>13.020 - Environmental protection; 13.040 - Air quality; 71.100 - Products of the chemical industry</t>
  </si>
  <si>
    <d:r xmlns:d="http://schemas.openxmlformats.org/spreadsheetml/2006/main">
      <d:rPr>
        <d:sz val="11"/>
        <d:rFont val="Calibri"/>
      </d:rPr>
      <d:t xml:space="preserve">https://members.wto.org/crnattachments/2024/TBT/USA/24_05886_00_e.pdf</d:t>
    </d:r>
  </si>
  <si>
    <t>Resolución para regular la importación de plantas con raíz para propagación de Aglaonema (Aglaonema spp) originarias de China (Resolution regulating the importation of rooted Aglaonema (Aglaonema spp.) plants for propagation originating in China) Costa Rica hereby advises that the phytosanitary measures notified in document G/SPS/N/CRI/278 have been adopted under Resolution No. 067-2024-CV-ARP-SFE of the State Phytosanitary Service, Standards and Regulations Department, Pest Risk Analysis Unit, establishing phytosanitary requirements for the importation of rooted Aglaonema (Aglaonema spp.) plants for propagation originating in China. The draft Resolution was circulated on 5 July 2024. The date of entry into force will be six months after signature of the final Resolution. https://members.wto.org/crnattachments/2024/SPS/CRI/24_05873_00_s.pdf</t>
  </si>
  <si>
    <t>Rooted Aglaonema (Aglaonema spp.) plants for propagation (HS code: 0602)</t>
  </si>
  <si>
    <t>0602 - Live plants incl. their roots, cuttings and slips; mushroom spawn (excl. bulbs, tubers, tuberous roots, corms, crowns and rhizomes, and chicory plants and roots); 0602 - Live plants incl. their roots, cuttings and slips; mushroom spawn (excl. bulbs, tubers, tuberous roots, corms, crowns and rhizomes, and chicory plants and roots)</t>
  </si>
  <si>
    <t>Plant health; Adoption/publication/entry into force of reg.; Territory protection; Territory protection; Plant health</t>
  </si>
  <si>
    <d:r xmlns:d="http://schemas.openxmlformats.org/spreadsheetml/2006/main">
      <d:rPr>
        <d:sz val="11"/>
        <d:rFont val="Calibri"/>
      </d:rPr>
      <d:t xml:space="preserve">https://members.wto.org/crnattachments/2024/SPS/CRI/24_05873_00_s.pdf</d:t>
    </d:r>
  </si>
  <si>
    <t>Proyecto de Resolución para regular la importación de plantas con raíz de Olivo (Olea europaea) para propagación originarias de Perú (Draft Resolution governing the importation, for propagation, of rooted olive (Olea europaea) plants from Peru)</t>
  </si>
  <si>
    <t>The notified draft Resolution establishes the phytosanitary measures governing the importation, for propagation, of rooted olive (Olea europaea) plants from Peru.</t>
  </si>
  <si>
    <d:r xmlns:d="http://schemas.openxmlformats.org/spreadsheetml/2006/main">
      <d:rPr>
        <d:sz val="11"/>
        <d:rFont val="Calibri"/>
      </d:rPr>
      <d:t xml:space="preserve">https://members.wto.org/crnattachments/2024/SPS/CRI/24_05885_00_s.pdf</d:t>
    </d:r>
  </si>
  <si>
    <t>Promoting Investment in the 3550-3700 MHz Band</t>
  </si>
  <si>
    <t xml:space="preserve">Notice of proposed rulemaking - In this document the Federal Communications Commission (FCC or 
Commission) continues to shape development of the Citizens Broadband 
Radio Service operations in the 3.55-3.7 GHz band (3.5 GHz band). This 
Notice of Proposed Rulemaking (NPRM) provides an overview of the 
federal protection regime implemented by the National 
Telecommunications and Information Administration (NTIA), Department of 
Defense (DoD), and Commission staff and solicits input on proposals to 
update the technical and service rules. It also seeks commenters' ideas 
for further innovations and improvements to the 3.5 GHz band.</t>
  </si>
  <si>
    <t>Radio service operations in the 3550-3700 MHz Band; Radiocommunications (ICS code(s): 33.060); Satellite (ICS code(s): 33.070.40); Electromagnetic compatibility (EMC) (ICS code(s): 33.100)</t>
  </si>
  <si>
    <t>33.060 - Radiocommunications; 33.070.40 - Satellite; 33.100 - Electromagnetic compatibility (EMC)</t>
  </si>
  <si>
    <t>National security requirements (TBT); Cost saving and productivity enhancement (TBT)</t>
  </si>
  <si>
    <d:r xmlns:d="http://schemas.openxmlformats.org/spreadsheetml/2006/main">
      <d:rPr>
        <d:sz val="11"/>
        <d:rFont val="Calibri"/>
      </d:rPr>
      <d:t xml:space="preserve">https://members.wto.org/crnattachments/2024/TBT/USA/24_05914_00_e.pdf
https://members.wto.org/crnattachments/2024/TBT/USA/24_05914_01_e.pdf</d:t>
    </d:r>
  </si>
  <si>
    <t xml:space="preserve">Proyecto "Normativa Técnica Sanitaria sustitutiva para la vigilancia y control de la publicidad y G/TBT/N/ECU/546 - 2 -   promoción de medicamentos en general, productos naturales procesados de uso medicinal, productos o medicamentos homeopáticos y dispositivos médicos" (Draft Substitute Sanitary Technical Regulation on the monitoring and control of the advertising and promotion of medicines in general, processed natural products for medicinal use, homeopathic products or medicines and medical devices) (21 page(s), in Spanish)</t>
  </si>
  <si>
    <t>The aim of the draft Substitute Sanitary Technical Regulation on the monitoring and control of the advertising and promotion of medicines in general, processed natural products for medicinal use, homeopathic products or medicines and medical devices is to regulate, control and monitor the advertising and promotion of medicines in general, processed natural products for medicinal use, homeopathic products or medicines and medical devices, in accordance with the provisions of the Organic Law on Health, with a view to promoting and providing information on the rational use and proper handling of the above-mentioned products. Only products with a sanitary registration certificate classifying them as over-the-counter products may be advertised. The provisions set out in the notified draft Regulation are applicable and mandatory throughout the national territory for natural and legal persons, whether national or foreign, that are engaged in or disseminate advertising and/or promotion activities in establishments and through mass media; it concerns the products that are mentioned above and that have undergone the sanitary registration or notification in effect in the country.</t>
  </si>
  <si>
    <t>The aim of the draft Substitute Sanitary Technical Regulation on the monitoring and control of the advertising and promotion of medicines in general, processed natural products for medicinal use, homeopathic products or medicines and medical devices is to regulate, control and monitor the advertising and promotion of medicines in general, processed natural products for medicinal use, homeopathic products or medicines and medical devices, in accordance with the provisions of the Organic Law on Health, with a view to promoting and providing information on the rational use and proper handling of the above-mentioned products. Only products with a sanitary registration certificate classifying them as over-the-counter products may be advertised.</t>
  </si>
  <si>
    <t>11.040 - Medical equipment; 11.120 - Pharmaceutics</t>
  </si>
  <si>
    <d:r xmlns:d="http://schemas.openxmlformats.org/spreadsheetml/2006/main">
      <d:rPr>
        <d:sz val="11"/>
        <d:rFont val="Calibri"/>
      </d:rPr>
      <d:t xml:space="preserve">https://members.wto.org/crnattachments/2024/TBT/ECU/24_05909_00_s.pdf
www.controlsanitario.gob.ec</d:t>
    </d:r>
  </si>
  <si>
    <t>Emergency Alert System; Wireless Emergency Alerts </t>
  </si>
  <si>
    <t xml:space="preserve">In this document, the Federal Communications Commission (FCC or Commission) amends its regulations governing the Emergency Alert System (EAS) and Wireless Emergency Alerts (WEA) to add a new event code, MEP, to allow alert originators to issue an alert to the public about missing and endangered persons (MEP) whose circumstances do not meet the criteria of “America's Missing: Broadcast Emergency Response” (AMBER) alerts.Effective 8 September 2025.89 Federal Register (FR) 72724, Title 47 Code of Federal Regulations (CFR) Part 11_x000D_
https://www.govinfo.gov/content/pkg/FR-2024-09-06/html/2024-19530.htmhttps://www.govinfo.gov/content/pkg/FR-2024-09-06/pdf/2024-19530.pdfhttps://docs.fcc.gov/public/attachments/FCC-24-83A1.pdfThis final rule and previous actions notified under the symbol G/TBT/N/USA/2087 are identified by PS Docket Nos. 15-94 and 15-91FCC 23-88 and FCC 24-83. The Docket Folders are available from the FCC's Electronic Document Management System (EDOCS). Filings on and the text of the proceedings are accessible from the FCC's Electronic Comment Filing System (ECFS) for Dockets 15-91 and 15-94</t>
  </si>
  <si>
    <t>Wireless emergency alerts; Domestic safety (ICS code(s): 13.120); Alarm and warning systems (ICS code(s): 13.320)</t>
  </si>
  <si>
    <t>13.120 - Domestic safety; 13.320 - Alarm and warning systems; 13.120 - Domestic safety; 13.320 - Alarm and warning systems</t>
  </si>
  <si>
    <d:r xmlns:d="http://schemas.openxmlformats.org/spreadsheetml/2006/main">
      <d:rPr>
        <d:sz val="11"/>
        <d:rFont val="Calibri"/>
      </d:rPr>
      <d:t xml:space="preserve">https://members.wto.org/crnattachments/2024/TBT/USA/final_measure/24_05913_00_e.pdf
https://members.wto.org/crnattachments/2024/TBT/USA/final_measure/24_05913_01_e.pdf</d:t>
    </d:r>
  </si>
  <si>
    <t>European Union</t>
  </si>
  <si>
    <t>Draft Commission Regulation (EU) amending Annex III to Regulation (EC) No 1925/2006 of the European Parliament and of the Council as regards certain botanical species containing hydroxyanthracene derivatives (Text with EEA relevance)</t>
  </si>
  <si>
    <t>This draft Commission Regulation concerns the prohibition of use in food of certain plant preparations containing hydroxyanthracene derivatives based on the scientific opinion of EFSA and following a period of Union scrutiny during which food business operators, or any other interested parties, may submit scientific data to demonstrate the safety of plant preparations in question. On 22 November 2017, the European Food Safety Authority (EFSA) adopted a scientific opinion on the evaluation of the safety of hydroxyanthracene derivatives for use in food. In that opinion it concluded that there is a possibility of harmful effects on health associated with the use of Rheum, Cassia and Rhamnus and their preparations in food, but scientific uncertainty persists. Consequently, pursuant to the procedure laid down in Article 8(2) of Regulation (EC) No 1925/2006, the plant preparations concerned were put under Union scrutiny by means of Regulation (EU) 2021/468 of 18 March 2021 for a period of four years from the entry into force of that Regulation, which allowed interested parties to provide EFSA with evidence of safety within 24 months.On 20 March 2024, EFSA adopted a scientific opinion on additional scientific data related to the safety of preparations of Rheum palmatum L., Rheum officinale Baill. and their hybrids, Rhamnus purshiana DC., Rhamnus frangula L., and Cassia senna L. submitted pursuant to Article 8(4) of Regulation (EC) No 1925/2006. In its opinion, EFSA concluded that the safety of plant preparations under evaluation cannot be established based on the submitted studies. Therefore, pursuant to the procedure of Article 8(5) of Regulation (EC) No 1925/2006, the plant preparations concerned should be included in Part A of Annex III to Regulation (EC) No 1925/2006, which means that their use in food will be prohibited.</t>
  </si>
  <si>
    <t>Food products</t>
  </si>
  <si>
    <d:r xmlns:d="http://schemas.openxmlformats.org/spreadsheetml/2006/main">
      <d:rPr>
        <d:sz val="11"/>
        <d:rFont val="Calibri"/>
      </d:rPr>
      <d:t xml:space="preserve">https://members.wto.org/crnattachments/2024/SPS/EEC/24_05893_00_e.pdf</d:t>
    </d:r>
  </si>
  <si>
    <t>Draft of Egyptian standard for  " Walking aids manipulated by both arms — Requirements and test methods — Part 3: Walking tables" (29 page(s), in English)</t>
  </si>
  <si>
    <t>This draft of Egyptian standard specifies requirements and methods of testing the static stability, braking capabilities, static strength and fatigue of walking tables without accessory equipment, unless specified in the particular test procedure. It also gives requirements relating to safety, ergonomics and performance, marking, labelling and information supplied by the manufacturer.ISO 11199-3:2005 includes all walking tables with three or more wheels or tips against the walking surface and having arm supports in the shape of a horizontal supporting table or two horizontal forearm supports.The requirements and tests are based on everyday usage of walking tables as walking aids, for a maximum user mass as specified by the manufacturer.ISO 11199-3:2005 includes walking tables specified for a user mass of not less than 35 kg.Worth mentioning is that this Draft standard adopts the technical content of ISO 11199-3:2005 (confirmed in 2022).</t>
  </si>
  <si>
    <t>Receipt of a Pesticide Petition Filed for Residues of Pesticide Chemicals in or on Various Commodities</t>
  </si>
  <si>
    <t>This document announces the Agency's receipt of several initial filings of pesticide petitions requesting the establishment or modification of regulations for residues of pesticide chemicals in or on various commodities.</t>
  </si>
  <si>
    <d:r xmlns:d="http://schemas.openxmlformats.org/spreadsheetml/2006/main">
      <d:rPr>
        <d:sz val="11"/>
        <d:rFont val="Calibri"/>
      </d:rPr>
      <d:t xml:space="preserve">https://www.govinfo.gov/content/pkg/FR-2024-08-27/html/2024-18858.htm</d:t>
    </d:r>
  </si>
  <si>
    <t>Resolución para regular la importación de esquejes enraizados y plantas con raíz para propagación de uva (Vitis vinifera) originarias de Ecuador (Resolution regulating imports of rooted cuttings and plants with roots for grape vine (Vitis vinifera) propagation originating in Ecuador) Costa Rica hereby advises that the phytosanitary measures notified in document G/SPS/N/CRI/277 have been adopted under Resolution No. 066-2024-CV-ARP-SFE of the State Phytosanitary Service, Standards and Regulations Department, Pest Risk Analysis Unit, establishing phytosanitary requirements for the importation of rooted cuttings and plants with roots for grape vine (Vitis vinifera) propagation originating in Ecuador. The draft Resolution was circulated on 2 July 2024. The date of entry into force will be six months after signature of the final Resolution. https://members.wto.org/crnattachments/2024/SPS/CRI/24_05871_00_s.pdf</t>
  </si>
  <si>
    <t>Esquejes enraizados y plantas con raíz para propagación de uva (Vitis vinifera) (código(s) del SA: 0602)</t>
  </si>
  <si>
    <t>Adoption/publication/entry into force of reg.; Plant health; Territory protection; Territory protection; Plant health</t>
  </si>
  <si>
    <d:r xmlns:d="http://schemas.openxmlformats.org/spreadsheetml/2006/main">
      <d:rPr>
        <d:sz val="11"/>
        <d:rFont val="Calibri"/>
      </d:rPr>
      <d:t xml:space="preserve">https://members.wto.org/crnattachments/2024/SPS/CRI/24_05871_00_s.pdf</d:t>
    </d:r>
  </si>
  <si>
    <t>Requisitos técnicos de calidad y seguridad que deben cumplir los productos identificados como cementos para la construcción. Certificación. (Technical quality and safety requirements for products identified as construction cements. Certification)</t>
  </si>
  <si>
    <t xml:space="preserve">Please be advised that, pursuant to Resolution No. 236/2024 of the Secretariat for Industry and Trade of the Ministry of the Economy, SC Resolution No. 54/2018, "Specific Technical Regulations establishing the technical quality and safety requirements for products identified as construction cements" (G/TBT/N/ARG/339/Add.1), and the amendments and supplements thereto, will be repealed as of 20 November 2025. Resolution No. 236/2024, notified in document G/TBT/N/ARG/457, approves the Technical Regulations establishing requirements and key criteria for the quality and safety of products  1 This information can be provided by including a website address, a PDF attachment, or other information on where the text of the final measure/change to the measure/interpretative guidance can be obtained. G/TBT/N/ARG/339/Add.6 - 2 -   identified as construction materials to be marketed in the Argentine Republic, including cements, in accordance with Annex II thereto. https://www.boletinoficial.gob.ar/detalleAviso/primera/313096/20240830 Punto Focal OTC-OMC Argentina (Argentine TBT-WTO Focal Point) Dirección Nacional de Reglamentos Técnicos (National Technical Regulation Directorate) Área Obstáculos Técnicos al Comercio (Technical Barriers to Trade Division) Av. Julio A. Roca N° 651 Of. 423 A (C1067ABB) Buenos Aires, Argentina Email: focalotc@produccion.gob.ar __________</t>
  </si>
  <si>
    <t>Construction cements; Portland cement (HS 25232)</t>
  </si>
  <si>
    <t>25232 - - Portland cement:; 25232 - - Portland cement:</t>
  </si>
  <si>
    <t>91.100.10 - Cement. Gypsum. Lime. Mortar; 91.100.10 - Cement. Gypsum. Lime. Mortar</t>
  </si>
  <si>
    <t>Protection of human health or safety (TBT); Quality requirements (TBT); Other (TBT)</t>
  </si>
  <si>
    <t>Letter by the Federal Service for Veterinary and Phytosanitary Surveillance No. FS-ARe-7/6144-3 of 9 September 2024</t>
  </si>
  <si>
    <t>The Federal Service for Veterinary and Phytosanitary Surveillance (Rosselkhoznadzor) introduced a temporary restriction on import and transportation through the territory of the Russian Federation of live sheep and goats; products produced from meat of sheep and goats from Gabon due to the outbreak of peste des petits ruminants (PPR).</t>
  </si>
  <si>
    <t>Live sheep and goats; products derived from meat of sheep and goats; milk and milk products; feed of animal origin and other raw materials and products obtained from sheep and goats slaughter with exception of production subject to the use of technologies providing destruction of PPR in accordance with the provisions of Chapter 14.7 of the WOAH Terrestrial Animal Health Code (HS code(s): 0104; 0106; 0204; 0206; 0210; 0401; 0402; 0403; 0404; 0405; 0406; 0506; 0507; 051199; 1502; 1503; 1505; 1506; 151610; 1518; 1601; 1602; 1603; 190220)</t>
  </si>
  <si>
    <t>0104 - Live sheep and goats; 1602 - Prepared or preserved meat, meat offal, blood or insects (excl. sausages and similar products, and meat extracts and juices); 1601 - Sausages and similar products, of meat, meat offal, blood or insects; food preparations based on these products.; 1518 - Animal, vegetable or microbial fats and oils and their fractions, boiled, oxidised, dehydrated, sulphurised, blown, polymerised by heat in vacuum or in inert gas or otherwise chemically modified, excluding those of heading 15.16; inedible mixtures or preparations of animal, vegetable or microbial fats or oils or of fractions of different fats or oils of this Chapter, not elsewhere specified or included.; 151610 - Animal fats and oils and their fractions, partly or wholly hydrogenated, inter-esterified, re-esterified or elaidinised, whether or not refined, but not further prepared; 1506 - Other animal fats and oils and their fractions, whether or not refined, but not chemically modified.; 1505 - Wool grease and fatty substances derived therefrom (including lanolin).; 1503 - Lard stearin, lard oil, oleostearin, oleo-oil and tallow oil, not emulsified or mixed or otherwise prepared.; 1502 - Fats of bovine animals, sheep or goats (excl. oil and oleostearin); 051199 - Products of animal origin, n.e.s., dead animals, unfit for human consumption (excl. fish, crustaceans, molluscs or other aquatic invertebrates); 0507 - Ivory, tortoiseshell, whalebone and whalebone hair, horns, antlers, hooves, nails, claws and beaks, unworked or simply prepared; powder and waste of these products (excl. cut to shape); 0506 - Bones and horn-cores and their powder and waste, unworked, defatted, simply prepared, treated with acid or degelatinised (excl. cut to shape); 0406 - Cheese and curd; 0405 - Butter, incl. dehydrated butter and ghee, and other fats and oils derived from milk; dairy spreads; 0404 - Whey, whether or not concentrated or containing added sugar or other sweetening matter; products consisting of natural milk constituents, whether or not containing added sugar or other sweetening matter, n.e.s.; 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0402 - Milk and cream, concentrated or containing added sugar or other sweetening matter; 0401 - Milk and cream, not concentrated nor containing added sugar or other sweetening matter; 0210 - Meat and edible offal, salted, in brine, dried or smoked; edible flours and meals of meat or meat offal; 0206 - Edible offal of bovine animals, swine, sheep, goats, horses, asses, mules or hinnies, fresh, chilled or frozen; 0204 - Meat of sheep or goats, fresh, chilled or frozen; 0106 - Live animals (excl. horses, asses, mules, hinnies, bovine animals, swine, sheep, goats, poultry, fish, crustaceans, molluscs and other aquatic invertebrates, and microorganic cultures etc.); 1603 - Extracts and juices of meat, fish or crustaceans, molluscs or other aquatic invertebrates.; 190220 - Pasta, stuffed with meat or other substances, whether or not cooked or otherwise prepared</t>
  </si>
  <si>
    <t>Animal health; Animal diseases; Zoonoses</t>
  </si>
  <si>
    <t>Gabon</t>
  </si>
  <si>
    <d:r xmlns:d="http://schemas.openxmlformats.org/spreadsheetml/2006/main">
      <d:rPr>
        <d:sz val="11"/>
        <d:rFont val="Calibri"/>
      </d:rPr>
      <d:t xml:space="preserve">https://members.wto.org/crnattachments/2024/SPS/RUS/24_05938_00_x.pdf
https://fsvps.gov.ru/files/ukazanie-rosselhoznadzora-ot-9-sentjabrja-2024-goda-fs-arje-7-6144-3/</d:t>
    </d:r>
  </si>
  <si>
    <t>Standards of Fill for Wine and Distilled Spirits</t>
  </si>
  <si>
    <t xml:space="preserve">The Alcohol and Tobacco Tax and Trade Bureau (TTB) is reopening the comment period for a proposed rule (Notice No. 210) published on 25 May 2022 (notified as G/TBT/N/USA/1872), which proposed changes to the authorized standards of fill for wine and distilled spirits, to solicit comments on additional suggestions raised in public comments made in response to Notice No. 210 that go beyond the scope of the original proposal. In Notice No. 210, TTB proposed to add 10 authorized standards of fill to those already authorized for wine, and alternatively, eliminating all but a minimum standard of fill for wine containers and all but a minimum and maximum for distilled spirits containers. TTB did not propose any specific standards of fill for distilled spirits as an alternative to generally eliminating them. TTB received a number of comments in response to the notice of proposed rulemaking requesting that TTB add specific new standards of fill for distilled spirits, as well as for wine, and also requesting that TTB consider eliminating the distinction between the standards of fill for distilled spirits in cans and those for distilled spirits in containers other than cans. TTB is now reopening the public comment period based on these suggestions, to provide notice to stakeholders that TTB is considering these additional requests for potential inclusion in the final rule and to also provide an opportunity for stakeholders to submit additional information to assist TTB in assessing whether to incorporate some, all, or none of these proposals into the final rule.The comment period for the proposed rule published on 25 May 2022 (87 FR 31787), is reopened. TTB must receive your comments on or before 9 October 2024.89 Federal Register (FR) 73050, Title 27 Code of Federal Regulations (CFR) Parts 45192426, and 27_x000D_
https://www.govinfo.gov/content/pkg/FR-2024-09-09/html/2024-20237.htm_x000D_
https://www.govinfo.gov/content/pkg/FR-2024-09-09/pdf/2024-20237.pdfThis supplemental notice of proposed rulemaking; reopening of comment period and the notice of proposed rulemaking notified as G/TBT/N/USA/1872 are identified by Docket Number TTB-2022-0004. The Docket Folder is available on Regulations.gov at https://www.regulations.gov/docket/TTB-2022-0004/document and provides access to primary and supporting documents as well as comments received. Documents are also accessible from Regulations.gov by searching the Docket Number. WTO Members and their stakeholders are asked to submit comments to the USA TBT Enquiry Point by or before 4pmEastern Time on 9 October 2024. Comments received by the USA TBT Enquiry Point from WTO Members and their stakeholders will be shared with TTB and will also be submitted to the Docket on Regulations.gov if received within the comment period.</t>
  </si>
  <si>
    <t>Wine and distilled spirits containers; Alcoholic beverages (ICS code(s): 67.160.10)</t>
  </si>
  <si>
    <t>67.160.10 - Alcoholic beverages; 67.160.10 - Alcoholic beverages</t>
  </si>
  <si>
    <d:r xmlns:d="http://schemas.openxmlformats.org/spreadsheetml/2006/main">
      <d:rPr>
        <d:sz val="11"/>
        <d:rFont val="Calibri"/>
      </d:rPr>
      <d:t xml:space="preserve">https://members.wto.org/crnattachments/2024/TBT/USA/modification/24_05916_00_e.pdf</d:t>
    </d:r>
  </si>
  <si>
    <t>Regime governing the mandatory certification of compliance with the essential safety requirements for aluminium radiators used in hot-water or steam heating systems</t>
  </si>
  <si>
    <t xml:space="preserve">Please be advised that, pursuant to Resolution No. 236/2024 of the Secretariat of Industry and Trade of the Ministry of Economic Affairs, SC Resolution No. 599/2017 on the essential safety requirements for aluminium radiators used in hot-water or steam heating systems, and of elements or sections thereof, whether or not such elements are assembled in blocks (G/TBT/N/ARG/324). Resolution No. 236/2024: https://www.boletinoficial.gob.ar/detalleAviso/primera/313096/20240830  1 This information can be provided by including a website address, a PDF attachment, or other information on where the text of the final measure/change to the measure/interpretative guidance can be obtained. G/TBT/N/ARG/324/Add.1 - 2 -   SC Resolution No. 599/2017: https://members.wto.org/crnattachments/2017/TBT/ARG/17_3563_00_s.pdf Punto Focal OTC-OMC Argentina (Argentine TBT-WTO Focal Point) Dirección Nacional de Reglamentos Técnicos (National Technical Regulation Directorate) Área Obstáculos Técnicos al Comercio (Technical Barriers to Trade Division) Av. Julio A. Roca N° 651 Of. 423 A (C1067ABB) Buenos Aires, Argentina Email: focalotc@produccion.gob.ar __________</t>
  </si>
  <si>
    <t>Aluminium radiators used in hot-water or steam heating systems.</t>
  </si>
  <si>
    <t>91.140.10 - Central heating systems; 91.140.10 - Central heating systems</t>
  </si>
  <si>
    <t xml:space="preserve">The Environmental Protection Agency (EPA or Agency) is taking direct final action to amend the Toxic Substances Control Act (TSCA) regulation with reporting and recordkeeping requirements for perfluoroalkyl and polyfluoroalkyl substances (PFAS). As promulgated in October 2023, the regulation requires manufacturers (including importers) of PFAS in any year between 2011-2022 to report certain data to EPA related to exposure and environmental and health effects. EPA is making a one-time modification to change the beginning of the data submission period from 12 November 2024, to 11 July 2025, with a corresponding change to the end of the submission period. EPA is also making a technical correction to address an error in the regulatory text. There are no other changes to the reporting and recordkeeping requirements in the existing rule under TSCA.This rule is effective 4 November 2024 without further notice. However, if EPA receives adverse comment by 7 October 2024, the Agency will publish a timely withdrawal in the Federal Register informing the public that this direct final rule will not take effect.89 Federal Register (FR) 72336, 40 Code of Federal Regulations (CFR) Part 705https://www.govinfo.gov/content/pkg/FR-2024-09-05/html/2024-19931.htm_x000D_
https://www.govinfo.gov/content/pkg/FR-2024-09-05/pdf/2024-19931.pdfThis action and previous actions notified under the symbol G/TBT/N/USA/1742 are identified by Docket Number EPA-HQ-OPPT-2020-0549. The Docket Folder is available on Regulations.gov at https://www.regulations.gov/docket/EPA-HQ-OPPT-2020-0549/document and provides access to primary and supporting documents as well as comments received. Documents are also accessible from Regulations.gov by searching the Docket Number. Directions for submission of adverse comments by WTO Members and their stakeholders are included in the revision to the notification, distributed separately. </t>
  </si>
  <si>
    <t>Perfluoroalkyl and Polyfluoroalkyl substances</t>
  </si>
  <si>
    <d:r xmlns:d="http://schemas.openxmlformats.org/spreadsheetml/2006/main">
      <d:rPr>
        <d:sz val="11"/>
        <d:rFont val="Calibri"/>
      </d:rPr>
      <d:t xml:space="preserve">https://members.wto.org/crnattachments/2024/TBT/USA/24_05870_00_e.pdf</d:t>
    </d:r>
  </si>
  <si>
    <t>Draft of Egyptian standard for " Assistive products for walking manipulated by both arms — Requirements and test methods — Part 2: Rollators " (32 page(s), in English).</t>
  </si>
  <si>
    <t>This draft of Egyptian standard specifies requirements and test methods of rollators being used as assistive products for walking with wheels, manipulated by both arms, without accessories, unless specified in the particular test procedure. This document also gives requirements relating to safety, ergonomics, performance and information supplied by the manufacturer including marking and labelling.The requirements and tests are based on every-day use of rollators as assistive products for walking for a maximum user mass as specified by the manufacturer. This document includes rollators specified for a user mass of no less than 35 kg.This document is not applicable to rollators with horizontal forearm supports, classified as walking tables, for which ISO 11199-3 is applicable.Worth mentioning is that this Draft standard adopts the technical content of  ISO 11199-2:2021.</t>
  </si>
  <si>
    <t>Decree establishing specifications for the quality of the fuels indicated, and repealing Supreme Decree No. 60, of 2011, of the Ministry of Energy</t>
  </si>
  <si>
    <t xml:space="preserve">__________  1 This information can be provided by including a website address, a PDF attachment, or other information on where the text of the final measure/change to the measure/interpretative guidance can be obtained.</t>
  </si>
  <si>
    <t>Gasolina para Motores de Ignición por Chispa, Petróleo Diésel Grado A-1, Petróleo Diésel Grado B-1, Petróleo Diésel Grado B-2, Kerosene, Petróleo Combustible N° 5 y Petróleo Combustibles N° 6.</t>
  </si>
  <si>
    <t>75.160 - Fuels; 75.160 - Fuels</t>
  </si>
  <si>
    <d:r xmlns:d="http://schemas.openxmlformats.org/spreadsheetml/2006/main">
      <d:rPr>
        <d:sz val="11"/>
        <d:rFont val="Calibri"/>
      </d:rPr>
      <d:t xml:space="preserve">https://members.wto.org/crnattachments/2024/TBT/CHL/24_05875_00_s.pdf</d:t>
    </d:r>
  </si>
  <si>
    <t>Modifica y prorroga vigencia de Resolución No 4.664 de 2022 que reconoce Centro de Producción CTIFL Lanxade para la exportación de ramillas de damasco (Prunus armeniaca), cerezo dulce (Prunus avium), cerezo agrio (Prunus cerasus), almendro (Prunus dulcis (= amygdalus)), ciruelo europeo (Prunus domestica), ciruelo japonés (Prunus salicina), duraznero (Prunus persica), nectarino (Prunus persica var. Nucipersica) (Amending and extending the validity of Resolution No. 4.664 of 2022 recognizing the CTIFL Lanxade production centre for the exportation of slips of apricot (Prunus armeniaca), sweet cherry (Prunus avium), sour cherry (Prunus cerasus), almond (Prunus dulcis (= amygdalus)), European plum (Prunus domestica), Japanese plum (Prunus salicina), peach (Prunus persica) and nectarine (Prunus persica var. Nucipersica))</t>
  </si>
  <si>
    <t>The notified measure amends and extends the validity of Resolution No. 4.664/2022 as follows: 1. The following pest has been removed from sections 2.2, 2.3, 2.5, 2.6 and 2.7: Pseudomonas syringae pv. morsprunorum; 2. Section 8 has been replaced with the following: "8. The period of validity for the recognition of the CTIFL Lanxade production centre, code AQ 00221, may be extended on the basis of the periodic positive assessment reports from the French phytosanitary authority and on the basis of the outcome, in terms of conformity, of the phytosanitary inspections of the service at the point of entry"; 3. The validity of Resolution No. 4.664 2022 has been extended for two years from 24 August 2024. Further details can be found in the document attached to this notification. G/SPS/N/CHL/802 - 2 -</t>
  </si>
  <si>
    <t>Slips of apricot (Prunus armeniaca), sweet cherry (Prunus avium), sour cherry (Prunus cerasus), almond (Prunus dulcis (= amygdalus)), European plum (Prunus domestica), Japanese plum (Prunus salicina), peach (Prunus persica) and nectarine (Prunus persica var. Nucipersica)</t>
  </si>
  <si>
    <t>080940 - Fresh plums and sloes; 080930 - Fresh peaches, incl. nectarines; 080929 - Fresh cherries (excl. sour cherries); 080921 - Fresh sour cherries "Prunus cerasus"; 080910 - Fresh apricots; 08021 - - Almonds:</t>
  </si>
  <si>
    <t>Plant health; Pest- or Disease- free Regions / Regionalization</t>
  </si>
  <si>
    <t>France</t>
  </si>
  <si>
    <d:r xmlns:d="http://schemas.openxmlformats.org/spreadsheetml/2006/main">
      <d:rPr>
        <d:sz val="11"/>
        <d:rFont val="Calibri"/>
      </d:rPr>
      <d:t xml:space="preserve">https://members.wto.org/crnattachments/2024/SPS/CHL/24_05918_00_s.pdf
https://members.wto.org/crnattachments/2024/SPS/CHL/24_05918_01_s.pdf</d:t>
    </d:r>
  </si>
  <si>
    <t>Safety Standard for Toys: Requirements for Water Beads</t>
  </si>
  <si>
    <t xml:space="preserve">Notice of proposed rulemaking - The Consumer Product Safety Improvement Act of 2008 (CPSIA) mandates that ASTM F963 shall be a mandatory toy safety standard. This safety standard sets forth requirements for water bead toys and toys that contain water beads. The U.S. Consumer Product Safety Commission (CPSC) proposes to establish additional performance and labeling requirements for these products. The Commission also proposes to amend CPSC's list of notice of requirements (NORs) to include water bead toys and toys that contain water beads. _x000D_
</t>
  </si>
  <si>
    <t>Water bead toys and toys that contain water beads. A toy is defined as “any object designed, manufactured, or marketed as a plaything for children under 14 years of age”. Product and company certification. Conformity assessment (ICS code(s): 03.120.20); Toys (ICS code(s): 97.200.50)</t>
  </si>
  <si>
    <t>03.120.20 - Product and company certification. Conformity assessment; 97.200.50 - Toys</t>
  </si>
  <si>
    <t>Consumer information, labelling (TBT); Prevention of deceptive practices and consumer protection (TBT); Protection of human health or safety (TBT); Quality requirements (TBT)</t>
  </si>
  <si>
    <d:r xmlns:d="http://schemas.openxmlformats.org/spreadsheetml/2006/main">
      <d:rPr>
        <d:sz val="11"/>
        <d:rFont val="Calibri"/>
      </d:rPr>
      <d:t xml:space="preserve">https://members.wto.org/crnattachments/2024/TBT/USA/24_05917_00_e.pdf</d:t>
    </d:r>
  </si>
  <si>
    <t>Maryland [Energy] Efficiency Standards</t>
  </si>
  <si>
    <t xml:space="preserve">Proposed rule - To implement the Maryland Efficiency Standards Act by establishing minimum efficiency standards for certain new products sold or installed in the State and to establish testing, certification, inspection, and enforcement procedures for ensuring compliance with established standards._x000D_
_x000D_
</t>
  </si>
  <si>
    <t>Portable electric  spas;  Air purifiers;  Commercial dishwashers;  Commercial  steam cookers; Faucets; Residential  ventilating  fans; Showerheads;  Spray  sprinkler bodies;  Urinals; Water closets; Water coolers; Energy efficiency standards; Quality (ICS code(s): 03.120); Environmental protection (ICS code(s): 13.020); Test conditions and procedures in general (ICS code(s): 19.020); Energy efficiency. Energy conservation in general (ICS code(s): 27.015); Domestic electrical appliances in general (ICS code(s): 97.030); Commercial refrigerating appliances (ICS code(s): 97.130.20)</t>
  </si>
  <si>
    <t>03.120 - Quality; 13.020 - Environmental protection; 19.020 - Test conditions and procedures in general; 97.030 - Domestic electrical appliances in general; 97.130.20 - Commercial refrigerating appliances</t>
  </si>
  <si>
    <t>Consumer information, labelling (TBT); Prevention of deceptive practices and consumer protection (TBT); Protection of the environment (TBT); Quality requirements (TBT)</t>
  </si>
  <si>
    <d:r xmlns:d="http://schemas.openxmlformats.org/spreadsheetml/2006/main">
      <d:rPr>
        <d:sz val="11"/>
        <d:rFont val="Calibri"/>
      </d:rPr>
      <d:t xml:space="preserve">https://members.wto.org/crnattachments/2024/TBT/USA/24_05887_00_e.pdf</d:t>
    </d:r>
  </si>
  <si>
    <t>Draft Resolution 1267, 14 June 2024</t>
  </si>
  <si>
    <t>Draft Resolution 1267, 14 June 2024 - previously notified through   G/SPS/N/BRA/2310 - was adopted as Normative Instruction 314, 4 September 2024. The regulation proposes the inclusion of active ingredient C87 - SILICON - BASED COMPOUNDS, with subitem C87.1 - CALCINATED KAOLIN on the Monograph List of Active Ingredients for Pesticides, Household Cleaning Products and Wood Preservatives, published by Normative Instruction 103 on 19 October 2021 in the Brazilian Official Gazette (DOU - Diário Oficial da União). The final text is available only in Portuguese and can be downloaded at:</t>
  </si>
  <si>
    <t>Maximum residue limits (MRLs); Food safety; Human health; Adoption/publication/entry into force of reg.; Maximum residue limits (MRLs); Food safety; Human health</t>
  </si>
  <si>
    <d:r xmlns:d="http://schemas.openxmlformats.org/spreadsheetml/2006/main">
      <d:rPr>
        <d:sz val="11"/>
        <d:rFont val="Calibri"/>
      </d:rPr>
      <d:t xml:space="preserve">https://members.wto.org/crnattachments/2024/SPS/BRA/24_05921_00_x.pdf
https://antigo.anvisa.gov.br/documents/10181/6772084/IN_314_2024_.pdf/12c6df28-9ab6-45ed-944e-899ba7f80fe4</d:t>
    </d:r>
  </si>
  <si>
    <t>United Kingdom</t>
  </si>
  <si>
    <t>Amendments to Commission Implementing Regulation (EU) 2019/2072</t>
  </si>
  <si>
    <t>The following amendments are being made to England, Scotland, and Wales (Great Britain) assimilated law (Commission implementing regulation (EU) 2019/2072): Introducing new specific import requirements following the completion of a full pest risk analysis (PRA) by the European and Mediterranean Plant Protection Organisation (EPPO) which resulted in Heterobasidion irregulare being declared a GB quarantine pest (QP);Introducing a requirement for certain plants for planting being imported into Great Britain to have been grown on a nursery. Following the completion of risk assessments under the UK Border Target Operating Model, the following plant products imported from the European Union and Switzerland will have their risk category changed. These changes will impact trade once the current EU fruit and vegetable easement has expired:The below plant products will be deregulated:Root and tubercle vegetables (other than Solanum tuberosumFruit of Fragaria L. Fruits of Malus Mill. Fruits of Persea americana Mill. Fruits of Pyrus L.   Fruits of Rubus LFruits of Vaccinium LFruit of Vitis L. from the European Union and Switzerland will no longer require pre-notification and will be subject to a reduced level of checks;Plants of Asparagus officinalis L. other than stems covered during their entire life by soil from the European Union, Switzerland and Liechtenstein will require pre-notification;Introducing new specific import requirements for the GB quarantine pest Popillia japonica Newton, taking into account the UK pest risk analysis (PRA);Adding an extra option for the import of certain plants of Capsicum spp.;Technical updates to clarify or correct the legislation.More information on the measures can be found at:PH052-QA-for-Portal-0509.pdf (defra.gov.uk)</t>
  </si>
  <si>
    <t>All plants for planting;Plants (except seeds) of AbiesCalocedrus decurrensJuniperusLarixPicea Pinus Pseudotsuga menziesii ThujaWood and isolated bark of AbiesCalocedrus decurrens JuniperusLarixPiceaPinusPseudotsuga menziesiiThujaRoot and tubercle vegetables (other than Solanum tuberosumFruits of Fragaria L., Malus Mill., Persea americana Mill., Pyrus L., Rubus L., Vaccinium L., and Vitis L.;Plants of Asparagus officinalis L. other than stems covered during their entire life by soil. </t>
  </si>
  <si>
    <t>Plant health; Territory protection; Pests</t>
  </si>
  <si>
    <d:r xmlns:d="http://schemas.openxmlformats.org/spreadsheetml/2006/main">
      <d:rPr>
        <d:sz val="11"/>
        <d:rFont val="Calibri"/>
      </d:rPr>
      <d:t xml:space="preserve">https://members.wto.org/crnattachments/2024/SPS/GBR/24_05868_00_e.pdf</d:t>
    </d:r>
  </si>
  <si>
    <t>Resolución Directoral No D000031-2024-MIDAGRI-SENASA-DSV (Directorial Resolution No. D000031-2024-MIDAGRI-SENASA-DSV) The National Agrarian Health Service (SENASA) hereby advises that the Directorial Resolution establishing mandatory phytosanitary requirements for the importation of maize (Zea mays) seed originating in and coming from Serbia has been adopted. https://members.wto.org/crnattachments/2024/SPS/PER/24_05867_00_s.pdf</t>
  </si>
  <si>
    <t>Maize (Zea mays) seeds</t>
  </si>
  <si>
    <t>100510 - Maize seed for sowing; 100510 - Maize seed for sowing</t>
  </si>
  <si>
    <t>Adoption/publication/entry into force of reg.; Plant health; Plant health</t>
  </si>
  <si>
    <d:r xmlns:d="http://schemas.openxmlformats.org/spreadsheetml/2006/main">
      <d:rPr>
        <d:sz val="11"/>
        <d:rFont val="Calibri"/>
      </d:rPr>
      <d:t xml:space="preserve">https://members.wto.org/crnattachments/2024/SPS/PER/24_05867_00_s.pdf</d:t>
    </d:r>
  </si>
  <si>
    <t>Singapore</t>
  </si>
  <si>
    <t>NEA Circular on Transboundary Movement Control on Electronic Waste under the Basel Convention</t>
  </si>
  <si>
    <t>Singapore is a Party to the Basel Convention and noting that the scope of coverage of the Basel Convention will be amended, NEA is proposing to align the list of waste electrical and electronic equipment and its components (“e-waste”) under Singapore’s Hazardous Waste (Control of Export, Import and Transit) Act with the Basel Convention. Companies that intend to import or export e-waste, or whose e-waste transits through Singapore, will be required to carry out the Prior Informed Consent procedure specified under the Basel Convention and obtain a Basel Permit from NEA prior to shipment.</t>
  </si>
  <si>
    <t>S/NProducts Covered 1Entry Y49 to Annex II (i.e. Wastes Requiring Special Consideration)  of the Basel Convention* – Electrical and Electronic Waste (HS Code Header: 85.49): Waste electrical and electronic equipment: not containing and not contaminated with Annex I (i.e. categories of wastes to be controlled) constituents to an extent that the waste exhibits an Annex III characteristic (i.e. hazardous characteristics), and in which none of the components (e.g. certain circuit boards, certain display devices) contain or are contaminated with Annex I constituents to an extent that the component exhibits an Annex III characteristic Waste components of electrical and electronic equipment (e.g. certain circuit boards, certain display devices) not containing and not contaminated with Annex I constituents to an extent that the waste components exhibit an Annex III characteristic, unless covered by another entry in Annex II (i.e. waste requiring special consideration) or by an entry in Annex IX. Wastes arising from the processing of waste electrical and electronic equipment or waste components of electrical and electronic equipment (e.g. fractions arising from shredding or dismantling), and not containing and not contaminated with Annex I constituents to an extent that the waste exhibits an Annex III characteristic, unless covered by another entry in Annex II or by an entry in Annex IX.2Entry A1181 to Annex VIII (i.e. Waste Characterized as Hazardous) to the Basel Convention* – Electrical and Electronic Waste (HS Code Header: 85.49): Waste electrical and electronic equipment containing or contaminated with cadmium, lead, mercury, organohalogen compounds or other Annex I constituents to an extent that the waste exhibits an Annex III characteristic, or with a component containing or contaminated with Annex I constituents to an extent that the component exhibits an Annex III characteristic, including but not limited to any of the following components: glass from cathode-ray tubes included on list A a battery included on list A a switch, lamp, fluorescent tube or a display device backlight which contains mercury a capacitor containing PCBs a component containing asbestos certain circuit boards certain display devices certain plastic components containing a brominated flame retardant Waste components of electrical and electronic equipment containing or contaminated with Annex I constituents to an extent that the waste components exhibit an Annex III characteristic, unless covered by another entry on list A Wastes arising from the processing of waste electrical and electronic equipment or waste components of electrical and electronic equipment, and containing or contaminated with Annex I constituents to an extent that the waste exhibits an Annex III characteristic (e.g. fractions arising from shredding or dismantling), unless covered by another entry on list A *          For more information on the descriptions of the Entries and Annexes, please refer to the Basel Convention text at the following website: https://www.basel.int/TheConvention/Overview/TextoftheConvention/tabid/1275/Default.aspx</t>
  </si>
  <si>
    <t>8549 - Electrical and electronic waste and scrap</t>
  </si>
  <si>
    <t>13.030.30 - Special wastes</t>
  </si>
  <si>
    <d:r xmlns:d="http://schemas.openxmlformats.org/spreadsheetml/2006/main">
      <d:rPr>
        <d:sz val="11"/>
        <d:rFont val="Calibri"/>
      </d:rPr>
      <d:t xml:space="preserve">https://members.wto.org/crnattachments/2024/TBT/SGP/24_05890_00_e.pdf</d:t>
    </d:r>
  </si>
  <si>
    <t>SDA/MAPA ORDINANCE No. 1.177, of 4 September 2024 - Amends the phytosanitary requirements for the import of corn seeds from the United States of America</t>
  </si>
  <si>
    <t>This ordinance amends the phytosanitary requirements for the import of corn (Zea mays) seeds (Category 4) produced in the United States of America.</t>
  </si>
  <si>
    <t>Corn seeds</t>
  </si>
  <si>
    <t>100510 - Maize seed for sowing</t>
  </si>
  <si>
    <d:r xmlns:d="http://schemas.openxmlformats.org/spreadsheetml/2006/main">
      <d:rPr>
        <d:sz val="11"/>
        <d:rFont val="Calibri"/>
      </d:rPr>
      <d:t xml:space="preserve">https://members.wto.org/crnattachments/2024/SPS/BRA/24_05915_00_x.pdf</d:t>
    </d:r>
  </si>
  <si>
    <t>Proyecto de Resolución Directoral que establece los requisitos fitosanitarios de importación de semillas de tomate (Solanum lycopersicum) de origen y procedencia Países Bajos (Draft Directorial Resolution establishing the phytosanitary import requirements for tomato (Solanum lycopersicum) seeds originating in and coming from the Netherlands)</t>
  </si>
  <si>
    <t>The notified draft phytosanitary requirements governing the importation of tomato (Solanum lycopersicum) seeds originating in and coming from the Netherlands are being submitted for public consultation following the completion of the pest risk analysis.</t>
  </si>
  <si>
    <t>Tomato seeds (HS code: 120991)</t>
  </si>
  <si>
    <t>120991 - Vegetable seeds, for sowing</t>
  </si>
  <si>
    <t>The Netherlands</t>
  </si>
  <si>
    <d:r xmlns:d="http://schemas.openxmlformats.org/spreadsheetml/2006/main">
      <d:rPr>
        <d:sz val="11"/>
        <d:rFont val="Calibri"/>
      </d:rPr>
      <d:t xml:space="preserve">https://members.wto.org/crnattachments/2024/SPS/PER/24_05880_00_s.pdf
La norma está disponible en el siguiente enlace en versión español:
https://www.gob.pe/institucion/senasa/campa%C3%B1as/4831-consulta-publica-importaciones</d:t>
    </d:r>
  </si>
  <si>
    <t>REGLAMENTO DE INSPECCIÓN SANITARIA DE LA CARNE, PRODUCTOS CÁRNICOS Y OTROS PRODUCTOS DE ORIGEN ANIMAL EN LA REPÚBLICA DOMINICANA (Regulations governing the sanitary inspection of meat, meat products and other animal products in the Dominican Republic) (163 pages(s), in Spanish) G/TBT/N/DOM/239 - 2 -</t>
  </si>
  <si>
    <t>The notified Regulation establishes rules for the sanitary inspection of meat, meat products, poultry, eggs in shell, egg products and aquaculture and of establishments engaged in the slaughter, processing, transformation and storage of livestock products and by-products, poultry, aquaculture products, eggs in shell and egg products in order to ensure the safety of food for domestic consumption and for export and import. Considering this objective, the notified Regulation is binding on, and may positively or negatively affect, the following: natural and legal persons throughout the country that are involved or engaged in the processes stipulated in the notified Regulation, as well as establishments engaged in the slaughter, processing, transformation and storage of livestock products and by-products, poultry, aquaculture products, eggs in shell and egg products in order to ensure the safety of food for domestic consumption and for export and import.</t>
  </si>
  <si>
    <t>Meat and edible meat offal (HS code(s): 02); Fish and crustaceans, molluscs and other aquatic invertebrates (HS code(s): 03); Chapter 16: Preparations of meat, of fish, of crustaceans, molluscs or other aquatic invertebrates, or of insects (HS code(s): 16); Food technology (ICS code(s): 67)</t>
  </si>
  <si>
    <t>02 - MEAT AND EDIBLE MEAT OFFAL; 03 - FISH AND CRUSTACEANS, MOLLUSCS AND OTHER AQUATIC INVERTEBRATES; 16 - PREPARATIONS OF MEAT, OF FISH, OF CRUSTACEANS, MOLLUSCS OR OTHER AQUATIC INVERTEBRATES, OR OF INSECTS</t>
  </si>
  <si>
    <t>67.120.10 - Meat and meat products; 67.120.20 - Poultry and eggs; 67.120.30 - Fish and fishery products</t>
  </si>
  <si>
    <t>National security requirements (TBT); Consumer information, labelling (TBT); Prevention of deceptive practices and consumer protection (TBT); Protection of human health or safety (TBT); Quality requirements (TBT); Reducing trade barriers and facilitating trade (TBT); Cost saving and productivity enhancement (TBT)</t>
  </si>
  <si>
    <d:r xmlns:d="http://schemas.openxmlformats.org/spreadsheetml/2006/main">
      <d:rPr>
        <d:sz val="11"/>
        <d:rFont val="Calibri"/>
      </d:rPr>
      <d:t xml:space="preserve">https://members.wto.org/crnattachments/2024/TBT/DOM/24_05911_00_s.pdf
https://www.msp.gob.do/web/Transparencia/reglamento-de-inspeccion-sanitaria-de-la-carne-productos-carnicos-y-otros-productos-de-origen-animal-en-la-republica-dominicana/</d:t>
    </d:r>
  </si>
  <si>
    <t>Namibia</t>
  </si>
  <si>
    <t>DNAMS 0028: 2024 : Marketing and commercial quality control of Processed poultry meat</t>
  </si>
  <si>
    <t>This standard specifies the requirements for processed poultry meat, including ready-to-cook preparations of the species Gallus domesticus (Chicken), ready-to-cook (RTC) or ready-to-eat (RTE) marketed as fit for human consumption. Processed poultry meat, including ready-to-cook preparations and ready-to-eat products meat.</t>
  </si>
  <si>
    <t>Processed poultry meat, including ready-to-cook preparations and ready-to-eat products meat is defined in the following categories:</t>
  </si>
  <si>
    <t>020990 - Poultry fat, not rendered or otherwise extracted, fresh, chilled, frozen, salted, in brine, dried or smoked; 16 - PREPARATIONS OF MEAT, OF FISH, OF CRUSTACEANS, MOLLUSCS OR OTHER AQUATIC INVERTEBRATES, OR OF INSECTS</t>
  </si>
  <si>
    <t>01 - Generalities. Terminology. Standardization. Documentation; 11 - Health care technology; 13 - Environment. Health protection. Safety; 17 - Metrology and measurement. Physical phenomena; 19 - Testing; 55 - Packaging and distribution of goods; 67 - Food technology</t>
  </si>
  <si>
    <t>Consumer information, labelling (TBT); Prevention of deceptive practices and consumer protection (TBT); Protection of human health or safety (TBT); Protection of animal or plant life or health (TBT); Protection of the environment (TBT); Quality requirements (TBT); Reducing trade barriers and facilitating trade (TBT); Cost saving and productivity enhancement (TBT)</t>
  </si>
  <si>
    <d:r xmlns:d="http://schemas.openxmlformats.org/spreadsheetml/2006/main">
      <d:rPr>
        <d:sz val="11"/>
        <d:rFont val="Calibri"/>
      </d:rPr>
      <d:t xml:space="preserve">https://members.wto.org/crnattachments/2024/TBT/NAM/24_05891_00_e.pdf</d:t>
    </d:r>
  </si>
  <si>
    <t>Revision of the Specifications and Standards for Foods, Food Additives, Etc. under the Food Sanitation Act (Revision of agricultural chemical residue standards)</t>
  </si>
  <si>
    <t>Proposal of maximum residue limits (MRLs) for the following agricultural chemical:Veterinary drug: Sulfadimidine.</t>
  </si>
  <si>
    <t>Meat and edible meat offal (HS codes: 02.01, 02.02, 02.03, 02.04, 02.05, 02.06, 02.07, 02.08 and 02.09)Dairy produce and birds' eggs (HS codes: 04.01, 04.07 and 04.08)Animal originated products (HS code: 05.04)Animal fats and oils (HS codes: 15.01, 15.02 and 15.06)</t>
  </si>
  <si>
    <t>0201 - Meat of bovine animals, fresh or chilled;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0504 - Guts, bladders and stomachs of animals (other than fish), whole and pieces thereof, fresh, chilled, frozen, salted, in brine, dried or smoked.; 1501 - Pig fat, incl. lard, and poultry fat, rendered or otherwise extracted (excl. lard stearin and lard oil); 1502 - Fats of bovine animals, sheep or goats (excl. oil and oleostearin); 1506 - Other animal fats and oils and their fractions, whether or not refined, but not chemically modified.</t>
  </si>
  <si>
    <d:r xmlns:d="http://schemas.openxmlformats.org/spreadsheetml/2006/main">
      <d:rPr>
        <d:sz val="11"/>
        <d:rFont val="Calibri"/>
      </d:rPr>
      <d:t xml:space="preserve">https://members.wto.org/crnattachments/2024/SPS/JPN/24_05853_00_e.pdf</d:t>
    </d:r>
  </si>
  <si>
    <t>Proposal of maximum residue limits (MRLs) for the following agricultural chemical:Veterinary drug/Feed additive: Sulfaquinoxaline.</t>
  </si>
  <si>
    <t>Meat and edible meat offal (HS codes: 02.01, 02.02, 02.04, 02.05, 02.06, 02.07, 02.08 and 02.09)Dairy produce and birds' eggs (HS codes: 04.01, 04.07 and 04.08)Animal originated products (HS code: 05.04)Animal fats and oils (HS codes: 15.01, 15.02 and 15.06)</t>
  </si>
  <si>
    <t>1506 - Other animal fats and oils and their fractions, whether or not refined, but not chemically modified.; 1502 - Fats of bovine animals, sheep or goats (excl. oil and oleostearin); 1501 - Pig fat, incl. lard, and poultry fat, rendered or otherwise extracted (excl. lard stearin and lard oil); 0504 - Guts, bladders and stomachs of animals (other than fish), whole and pieces thereof, fresh, chilled, frozen, salted, in brine, dried or smoked.; 0408 - Birds' eggs, not in shell, and egg yolks, fresh, dried, cooked by steaming or by boiling in water, moulded, frozen or otherwise preserved, whether or not containing added sugar or other sweetening matter; 0407 - Birds' eggs, in shell, fresh, preserved or cooked; 0401 - Milk and cream, not concentrated nor containing added sugar or other sweetening matter;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0202 - Meat of bovine animals, frozen; 0201 - Meat of bovine animals, fresh or chilled</t>
  </si>
  <si>
    <t>Maximum residue limits (MRLs); Food safety; Human health</t>
  </si>
  <si>
    <d:r xmlns:d="http://schemas.openxmlformats.org/spreadsheetml/2006/main">
      <d:rPr>
        <d:sz val="11"/>
        <d:rFont val="Calibri"/>
      </d:rPr>
      <d:t xml:space="preserve">https://members.wto.org/crnattachments/2024/SPS/JPN/24_05861_00_e.pdf</d:t>
    </d:r>
  </si>
  <si>
    <t>Proposal of maximum residue limits (MRLs) for the following agricultural chemical:Pesticide: Flometoquin.</t>
  </si>
  <si>
    <t>Natural honey (HS code: 04.09)Edible vegetables and certain roots and tubers (HS codes: 07.02, 07.03, 07.04, 07.05, 07.06, 07.07, 07.08, 07.09 and 07.10)Edible fruit and nuts, peel of citrus fruit (HS codes: 08.04, 08.05, 08.06, 08.07, 08.09, 08.10, 08.11 and 08.14)Tea, mate and spices (HS codes: 09.02, 09.03, 09.04, 09.05, 09.06, 09.07, 09.08, 09.09 and 09.10)Oil seeds and oleaginous fruits, miscellaneous grains, seeds and fruit (HS codes: 12.07 and 12.12)</t>
  </si>
  <si>
    <t>0409 - Natural honey.;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0809 - Apricots, cherries, peaches incl. nectarines, plums and sloes, fresh; 0807 - Melons, incl. watermelons, and papaws "papayas", fresh; 0806 - Grapes, fresh or dried; 0805 - Citrus fruit, fresh or dried; 0804 - Dates, figs, pineapples, avocados, guavas, mangoes and mangosteens, fresh or dried; 0710 - Vegetables, uncooked or cooked by steaming or boiling in water, frozen;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0708 - Leguminous vegetables, shelled or unshelled, fresh or chilled; 0707 - Cucumbers and gherkins, fresh or chilled.; 0706 - Carrots, turnips, salad beetroot, salsify, celeriac, radishes and similar edible roots, fresh or chilled; 0705 - Lettuce "Lactuca sativa" and chicory "Cichorium spp.", fresh or chilled; 0704 - Cabbages, cauliflowers, kohlrabi, kale and similar edible brassicas, fresh or chilled; 0703 - Onions, shallots, garlic, leeks and other alliaceous vegetables, fresh or chilled; 0702 - Tomatoes, fresh or chilled.; 0811 - Fruit and nuts, uncooked or cooked by steaming or boiling in water, frozen, whether or not containing added sugar or other sweetening matter; 0814 - Peel of citrus fruit or melons (including watermelons), fresh, frozen, dried or provisionally preserved in brine, in sulphur water or in other preservative solutions.; 0902 - Tea, whether or not flavoured; 0903 - Maté.; 0904 - Pepper of the genus Piper; dried or crushed or ground fruits of the genus Capsicum or of the genus Pimenta; 0905 - Vanilla; 0906 - Cinnamon and cinnamon-tree flowers; 0907 - Cloves, whole fruit, cloves and stems; 0908 - Nutmeg, mace and cardamoms; 0909 - Seeds of anis, badian, fennel, coriander, cumin or caraway; juniper berries;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1207 - Other oil seeds and oleaginous fruits, whether or not broken (excl. edible nuts, olives, soya beans, groundnuts, copra, linseed, rape or colza seeds and sunflower seeds);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t>
  </si>
  <si>
    <t>Food safety; Human health; Maximum residue limits (MRLs)</t>
  </si>
  <si>
    <d:r xmlns:d="http://schemas.openxmlformats.org/spreadsheetml/2006/main">
      <d:rPr>
        <d:sz val="11"/>
        <d:rFont val="Calibri"/>
      </d:rPr>
      <d:t xml:space="preserve">https://members.wto.org/crnattachments/2024/SPS/JPN/24_05844_00_e.pdf</d:t>
    </d:r>
  </si>
  <si>
    <t>Proposal of maximum residue limits (MRLs) for the following agricultural chemical:Pesticide: Quinofumelin.</t>
  </si>
  <si>
    <t>Meat and edible meat offal (HS codes: 02.01, 02.02, 02.03, 02.04, 02.05, 02.06, 02.07, 02.08 and 02.09)Aquatic animals and crustaceans, molluscs and other aquatic invertebrates (HS codes: 03.02, 03.03, 03.04, 03.06, 03.07 and 03.08)Dairy produce, birds' eggs and natural honey (HS codes: 04.01, 04.07, 04.08 and 04.09)Animal originated products (HS code: 05.04)Edible vegetables and certain roots and tubers (HS codes: 07.02, 07.03, 07.04, 07.05, 07.07, 07.09, 07.10 and 07.13)Edible fruit and nuts, peel of citrus fruit (HS codes: 08.04, 08.05, 08.06, 08.07, 08.08, 08.09, 08.10,08.11 and 08.14)Tea and spices (HS codes: 09.02, 09.04, 09.05, 09.06, 09.07, 09.08, 09.09 and 09.10)Cereals (HS code: 10.06)Oil seeds and oleaginous fruits, miscellaneous grains, seeds and fruit (HS codes: 12.07 and 12.12)Animal fats and oils (HS codes: 15.01, 15.02 and 15.06)                      </t>
  </si>
  <si>
    <t>0201 - Meat of bovine animals, fresh or chilled; 0713 - Dried leguminous vegetables, shelled, whether or not skinned or split; 0804 - Dates, figs, pineapples, avocados, guavas, mangoes and mangosteens, fresh or dried; 0805 - Citrus fruit, fresh or dried; 0806 - Grapes, fresh or dried; 0807 - Melons, incl. watermelons, and papaws "papayas", fresh; 0808 - Apples, pears and quinces, fresh; 0809 - Apricots, cherries, peaches incl. nectarines, plums and sloes,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0814 - Peel of citrus fruit or melons (including watermelons), fresh, frozen, dried or provisionally preserved in brine, in sulphur water or in other preservative solutions.; 0710 - Vegetables, uncooked or cooked by steaming or boiling in water, frozen; 0902 - Tea, whether or not flavoured; 0905 - Vanilla; 0906 - Cinnamon and cinnamon-tree flowers; 0907 - Cloves, whole fruit, cloves and stems; 0908 - Nutmeg, mace and cardamoms; 0909 - Seeds of anis, badian, fennel, coriander, cumin or caraway; juniper berries;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1006 - Rice; 1207 - Other oil seeds and oleaginous fruits, whether or not broken (excl. edible nuts, olives, soya beans, groundnuts, copra, linseed, rape or colza seeds and sunflower seeds);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1501 - Pig fat, incl. lard, and poultry fat, rendered or otherwise extracted (excl. lard stearin and lard oil); 0904 - Pepper of the genus Piper; dried or crushed or ground fruits of the genus Capsicum or of the genus Pimenta; 1502 - Fats of bovine animals, sheep or goats (excl. oil and oleostearin);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0705 - Lettuce "Lactuca sativa" and chicory "Cichorium spp.", fresh or chilled;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0302 - Fish, fresh or chilled (excl. fish fillets and other fish meat of heading 0304); 0303 - Frozen fish (excl. fish fillets and other fish meat of heading 0304); 0707 - Cucumbers and gherkins, fresh or chilled.; 0304 - Fish fillets and other fish meat, whether or not minced, fresh, chilled or frozen; 0307 - Molluscs, fit for human consumption, even smoked, whether in shell or not, live, fresh, chilled, frozen, dried, salted or in brine; 0308 - Aquatic invertebrates other than crustaceans and molluscs, live, fresh, chilled, frozen, dried, salted or in brine, even smoked;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0409 - Natural honey.; 0504 - Guts, bladders and stomachs of animals (other than fish), whole and pieces thereof, fresh, chilled, frozen, salted, in brine, dried or smoked.; 0702 - Tomatoes, fresh or chilled.; 0703 - Onions, shallots, garlic, leeks and other alliaceous vegetables, fresh or chilled; 0704 - Cabbages, cauliflowers, kohlrabi, kale and similar edible brassicas, fresh or chilled; 0306 - Crustaceans, whether in shell or not, live, fresh, chilled, frozen, dried, salted or in brine, even smoked, incl. crustaceans in shell cooked by steaming or by boiling in water; 1506 - Other animal fats and oils and their fractions, whether or not refined, but not chemically modified.</t>
  </si>
  <si>
    <d:r xmlns:d="http://schemas.openxmlformats.org/spreadsheetml/2006/main">
      <d:rPr>
        <d:sz val="11"/>
        <d:rFont val="Calibri"/>
      </d:rPr>
      <d:t xml:space="preserve">https://members.wto.org/crnattachments/2024/SPS/JPN/24_05848_00_e.pdf</d:t>
    </d:r>
  </si>
  <si>
    <t>Proposal of maximum residue limits (MRLs) for the following agricultural chemical:Veterinary drug: Sulfadiazine.</t>
  </si>
  <si>
    <t>Meat and edible meat offal (HS codes: 02.01, 02.02, 02.03, 02.04, 02.05, 02.06, 02.07, 02.08 and 02.09)Aquatic animals and crustaceans, molluscs and other aquatic invertebrates (HS codes: 03.02, 03.03 and 03.04)Dairy produce and birds' eggs (HS codes: 04.01, 04.07 and 04.08)Animal originated products (HS code: 05.04)Animal fats and oils (HS codes: 15.01, 15.02 and 15.06)                      </t>
  </si>
  <si>
    <t>0201 - Meat of bovine animals, fresh or chilled; 1501 - Pig fat, incl. lard, and poultry fat, rendered or otherwise extracted (excl. lard stearin and lard oil); 0504 - Guts, bladders and stomachs of animals (other than fish), whole and pieces thereof, fresh, chilled, frozen, salted, in brine, dried or smoked.; 0408 - Birds' eggs, not in shell, and egg yolks, fresh, dried, cooked by steaming or by boiling in water, moulded, frozen or otherwise preserved, whether or not containing added sugar or other sweetening matter; 0407 - Birds' eggs, in shell, fresh, preserved or cooked; 0401 - Milk and cream, not concentrated nor containing added sugar or other sweetening matter; 0304 - Fish fillets and other fish meat, whether or not minced, fresh, chilled or frozen; 0303 - Frozen fish (excl. fish fillets and other fish meat of heading 0304); 1502 - Fats of bovine animals, sheep or goats (excl. oil and oleostearin); 0302 - Fish, fresh or chilled (excl. fish fillets and other fish meat of heading 0304);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0209 - Pig fat, free of lean meat, and poultry fat, not rendered or otherwise extracted, fresh, chilled, frozen, salted, in brine, dried or smoked; 1506 - Other animal fats and oils and their fractions, whether or not refined, but not chemically modified.</t>
  </si>
  <si>
    <d:r xmlns:d="http://schemas.openxmlformats.org/spreadsheetml/2006/main">
      <d:rPr>
        <d:sz val="11"/>
        <d:rFont val="Calibri"/>
      </d:rPr>
      <d:t xml:space="preserve">https://members.wto.org/crnattachments/2024/SPS/JPN/24_05851_00_e.pdf</d:t>
    </d:r>
  </si>
  <si>
    <t>Draft Resolution no. 854, 24 June 2020</t>
  </si>
  <si>
    <t>Resolution 878, 28 May 2024 - previously notified through G/TBT/N/BRA/1033/Add.2 - which establishes procedure for changes in the process of post-market authorization of sanitizing products, was revoked by  Resolution 899, 28 August 2024.The final text is available only in Portuguese and can be downloaded at: https://antigo.anvisa.gov.br/documents/10181/6856654/RDC_899_2024_.pdf/98f978f3-8b0a-4d6c-9fdf-a39333feec42</t>
  </si>
  <si>
    <t>HS Code(s): 3402; 340119; 340120; 330290 (sanitizing products)</t>
  </si>
  <si>
    <t>330290 - Mixtures of odoriferous substances and mixtures, incl. alcoholic solutions, based on one or more of these substances, of a kind used as raw materials in industry (excl. food or drink industries); 340119 - Soap and organic surface-active products and preparations, in the form of bars, cakes, moulded pieces or shapes, and paper, wadding, felt and nonwovens, impregnated, coated or covered with soap or detergent (excl. those for toilet use, incl. medicated products); 340120 - Soap in the form of flakes, granules, powder, paste or in aqueous solution; 3402 - Organic surface-active agents (excl. soap); surface-active preparations, washing preparations, incl. auxiliary washing preparations, and cleaning preparations, whether or not containing soap (excl. those of heading 3401); 3402 - Organic surface-active agents (excl. soap); surface-active preparations, washing preparations, incl. auxiliary washing preparations, and cleaning preparations, whether or not containing soap (excl. those of heading 3401); 340120 - Soap in the form of flakes, granules, powder, paste or in aqueous solution; 340119 - Soap and organic surface-active products and preparations, in the form of bars, cakes, moulded pieces or shapes, and paper, wadding, felt and nonwovens, impregnated, coated or covered with soap or detergent (excl. those for toilet use, incl. medicated products); 330290 - Mixtures of odoriferous substances and mixtures, incl. alcoholic solutions, based on one or more of these substances, of a kind used as raw materials in industry (excl. food or drink industries)</t>
  </si>
  <si>
    <t>71.100.35 - Chemicals for industrial and domestic disinfection purposes; 71.100.35 - Chemicals for industrial and domestic disinfection purposes; 71.100.40 - Surface active agents; 71.100.40 - Surface active agents</t>
  </si>
  <si>
    <t>Normative Instruction number 72, 1 September 2020</t>
  </si>
  <si>
    <t>Normative Instruction 72, 1 September 2020 - previously notified through G/TBT/N/BRA/1085 - which establishes the inclusion of a declaration in the label of tobacco-related products informing the existence of a new formula changing its composition, was revoked by Normative Instruction 312, 22 August 2024. The final text is available only in Portuguese and can be downloaded at: https://www.in.gov.br/en/web/dou/-/instrucao-normativa-n-312-de-22-de-agosto-de-2024-582080191</t>
  </si>
  <si>
    <t>Reglamento Técnico que establece requisitos y características esenciales de calidad y seguridad que deberán cumplir los productos identificados como materiales para la construcción (Technical Regulation establishing requirements and key criteria for the quality and safety of products identified as construction materials) (19 pages, in Spanish)</t>
  </si>
  <si>
    <t xml:space="preserve">The notified Resolution approves the technical regulation establishing requirements and key criteria for the quality and safety of products identified as construction materials to be marketed in the Argentine Republic. It reorganizes and updates the current regime for construction products, including by repealing regulation, with a view to updating quality standards and simplifying and streamlining the conformity assessment procedures required to market such products. The notified Resolution has five annexes: Annex I: Requirements and key criteria for the quality and safety of construction materials Annex II: Products and standards Annex III: Conformity assessment Annex IV: Implementation G/TBT/N/ARG/457 - 2 -   Annex V: Repeals The notified Resolution will come into effect the day after its publication in the Official Journal. The requirements established in the notified Resolution with regard to the products listed in Annex II will come into force within the time frames set out in Annex IV.</t>
  </si>
  <si>
    <t>Construction materials</t>
  </si>
  <si>
    <t>91.100 - Construction materials</t>
  </si>
  <si>
    <t>Protection of human health or safety (TBT); Quality requirements (TBT); Reducing trade barriers and facilitating trade (TBT)</t>
  </si>
  <si>
    <d:r xmlns:d="http://schemas.openxmlformats.org/spreadsheetml/2006/main">
      <d:rPr>
        <d:sz val="11"/>
        <d:rFont val="Calibri"/>
      </d:rPr>
      <d:t xml:space="preserve">https://members.wto.org/crnattachments/2024/TBT/ARG/24_05839_02_s.pdf
https://members.wto.org/crnattachments/2024/TBT/ARG/24_05839_00_s.pdf
https://members.wto.org/crnattachments/2024/TBT/ARG/24_05839_01_s.pdf
https://members.wto.org/crnattachments/2024/TBT/ARG/24_05839_03_s.pdf
https://members.wto.org/crnattachments/2024/TBT/ARG/24_05839_04_s.pdf
https://members.wto.org/crnattachments/2024/TBT/ARG/24_05839_05_s.pdf
https://www.boletinoficial.gob.ar/detalleAviso/primera/313096/20240830</d:t>
    </d:r>
  </si>
  <si>
    <t>Greenhouse Gas Reporting Rule: Revisions and Confidentiality Determinations for Petroleum and Natural Gas Systems; Correction</t>
  </si>
  <si>
    <t xml:space="preserve">The Environmental Protection Agency (EPA) is correcting a final rule (notified as G/TBT/N/USA/2027/Add.1)  published in the Federal Register on 14 May 2024. The final rule amended requirements that apply to the petroleum and natural gas systems source category of the Greenhouse Gas Reporting Rule to ensure that reporting is based on empirical data, accurately reflects total methane emissions and waste emissions from applicable facilities and allows owners and operators of applicable facilities to submit empirical emissions data that appropriately demonstrate the extent to which a charge is owed under the Waste Emissions Charge. This document corrects inadvertent errors introduced in preparing the amendatory regulatory text for the final rule or in preparing the signed final rule for publication. These corrections do not result in any substantive changes to the final rule.The Federal Register corrections, numbers 1.a through 1.ff and 2.a through 2.q, are effective 1 January 2025. The correcting amendments in instructions 2 and 3, correcting §§ 98.233 and 98.236, respectively, are effective 4 October 2024.89 Federal Register (FR) 71838, Title 40 Code of Federal Regulations (CFR) Part 98_x000D_
https://www.govinfo.gov/content/pkg/FR-2024-09-04/html/2024-18933.htm_x000D_
https://www.govinfo.gov/content/pkg/FR-2024-09-04/pdf/2024-18933.pdfThis action and previous actions notified under the symbol G/TBT/N/USA/2027 are identified by Docket Numbers EPA-HQ-OAR-2023-0234 and EPA-HQ-OAR-2024-0350. The Docket Folders are available on Regulations.gov at  https://www.regulations.gov/docket/EPA-HQ-OAR-2023-0234/document and https://www.regulations.gov/docket/EPA-HQ-OAR-2024-0350/document and provide access to primary and supporting documents as well as comments received. Documents are also accessible from Regulations.gov by searching the Docket Number. </t>
  </si>
  <si>
    <t>Calculation, monitoring, and reporting of greenhouse gas data for petroleum and natural gas systems facilities; Quality management and quality assurance (ICS code(s): 03.120.10); Product and company certification. Conformity assessment (ICS code(s): 03.120.20); Air quality (ICS code(s): 13.040); Environmental testing (ICS code(s): 19.040); Pipeline components and pipelines (ICS code(s): 23.040); Valves (ICS code(s): 23.060); Pumps (ICS code(s): 23.080); Extraction and processing of petroleum and natural gas (ICS code(s): 75.020); Exploratory, drilling and extraction equipment (ICS code(s): 75.180.10); Petroleum products and natural gas handling equipment (ICS code(s): 75.200)</t>
  </si>
  <si>
    <t>03.120.10 - Quality management and quality assurance; 03.120.10 - Quality management and quality assurance; 03.120.20 - Product and company certification. Conformity assessment; 03.120.20 - Product and company certification. Conformity assessment; 13.040 - Air quality; 13.040 - Air quality; 19.040 - Environmental testing; 19.040 - Environmental testing; 23.040 - Pipeline components and pipelines; 23.040 - Pipeline components and pipelines; 23.060 - Valves; 23.060 - Valves; 23.080 - Pumps; 23.080 - Pumps; 75.020 - Extraction and processing of petroleum and natural gas; 75.020 - Extraction and processing of petroleum and natural gas; 75.180.10 - Exploratory, drilling and extraction equipment; 75.180.10 - Exploratory, drilling and extraction equipment; 75.200 - Petroleum products and natural gas handling equipment; 75.200 - Petroleum products and natural gas handling equipment; 03.120.10 - Quality management and quality assurance; 03.120.20 - Product and company certification. Conformity assessment; 13.040 - Air quality; 19.040 - Environmental testing; 23.040 - Pipeline components and pipelines; 23.060 - Valves; 23.080 - Pumps; 75.020 - Extraction and processing of petroleum and natural gas; 75.180.10 - Exploratory, drilling and extraction equipment; 75.200 - Petroleum products and natural gas handling equipment</t>
  </si>
  <si>
    <t>Prevention of deceptive practices and consumer protection (TBT); Protection of the environment (TBT); Quality requirements (TBT)</t>
  </si>
  <si>
    <d:r xmlns:d="http://schemas.openxmlformats.org/spreadsheetml/2006/main">
      <d:rPr>
        <d:sz val="11"/>
        <d:rFont val="Calibri"/>
      </d:rPr>
      <d:t xml:space="preserve">https://members.wto.org/crnattachments/2024/TBT/USA/24_05838_00_e.pdf</d:t>
    </d:r>
  </si>
  <si>
    <t>Proposal of maximum residue limits (MRLs) for the following agricultural chemical:Veterinary drug: Sulfamethoxazole.</t>
  </si>
  <si>
    <t>Meat and edible meat offal (HS codes: 02.03, 02.06, 02.07 and 02.09)Animal originated products (HS code: 05.04)Animal fats and oils (HS code: 15.01)</t>
  </si>
  <si>
    <t>0203 - Meat of swine, fresh, chilled or frozen; 0206 - Edible offal of bovine animals, swine, sheep, goats, horses, asses, mules or hinnies, fresh, chilled or frozen; 0207 - Meat and edible offal of fowls of the species Gallus domesticus, ducks, geese, turkeys and guinea fowls, fresh, chilled or frozen; 0209 - Pig fat, free of lean meat, and poultry fat, not rendered or otherwise extracted, fresh, chilled, frozen, salted, in brine, dried or smoked; 0504 - Guts, bladders and stomachs of animals (other than fish), whole and pieces thereof, fresh, chilled, frozen, salted, in brine, dried or smoked.; 1501 - Pig fat, incl. lard, and poultry fat, rendered or otherwise extracted (excl. lard stearin and lard oil)</t>
  </si>
  <si>
    <d:r xmlns:d="http://schemas.openxmlformats.org/spreadsheetml/2006/main">
      <d:rPr>
        <d:sz val="11"/>
        <d:rFont val="Calibri"/>
      </d:rPr>
      <d:t xml:space="preserve">https://members.wto.org/crnattachments/2024/SPS/JPN/24_05855_00_e.pdf</d:t>
    </d:r>
  </si>
  <si>
    <t>Proposal of maximum residue limits (MRLs) for the following agricultural chemical:Veterinary drug: Sulfachlorpyridazine.</t>
  </si>
  <si>
    <t>Meat and edible meat offal (HS codes: 02.01, 02.02, 02.03, 02.06 and 02.09)Animal originated products (HS code: 05.04)Animal fats and oils (HS codes: 15.01 and 15.02)</t>
  </si>
  <si>
    <t>0201 - Meat of bovine animals, fresh or chilled; 0202 - Meat of bovine animals, frozen; 0203 - Meat of swine, fresh, chilled or frozen; 0206 - Edible offal of bovine animals, swine, sheep, goats, horses, asses, mules or hinnies, fresh, chilled or frozen; 0209 - Pig fat, free of lean meat, and poultry fat, not rendered or otherwise extracted, fresh, chilled, frozen, salted, in brine, dried or smoked; 0504 - Guts, bladders and stomachs of animals (other than fish), whole and pieces thereof, fresh, chilled, frozen, salted, in brine, dried or smoked.; 1501 - Pig fat, incl. lard, and poultry fat, rendered or otherwise extracted (excl. lard stearin and lard oil); 1502 - Fats of bovine animals, sheep or goats (excl. oil and oleostearin)</t>
  </si>
  <si>
    <d:r xmlns:d="http://schemas.openxmlformats.org/spreadsheetml/2006/main">
      <d:rPr>
        <d:sz val="11"/>
        <d:rFont val="Calibri"/>
      </d:rPr>
      <d:t xml:space="preserve">https://members.wto.org/crnattachments/2024/SPS/JPN/24_05850_00_e.pdf</d:t>
    </d:r>
  </si>
  <si>
    <t>Letter of the Federal Service for Veterinary and Phytosanitary Surveillance No. FS-ARe-7/6128-3 as of 5 September 2024</t>
  </si>
  <si>
    <t>This letter introduces a temporary restriction on imports of products mentioned in point 3 as well as the transit of cattle, small cattle and animals susceptible to bluetongue from Switzerland to the territory of the Russian Federation due to the registration of bluetongue disease outbreaks.</t>
  </si>
  <si>
    <d:r xmlns:d="http://schemas.openxmlformats.org/spreadsheetml/2006/main">
      <d:rPr>
        <d:sz val="11"/>
        <d:rFont val="Calibri"/>
      </d:rPr>
      <d:t xml:space="preserve">https://members.wto.org/crnattachments/2024/SPS/RUS/24_05836_00_x.pdf
https://fsvps.gov.ru/files/ukazanie-rosselhoznadzora-ot-05-sentjabrja-2024-goda-fs-arje-7-6128-3/</d:t>
    </d:r>
  </si>
  <si>
    <t xml:space="preserve">Americans With Disabilities Act and Architectural Barriers Act 
Accessibility Guidelines; EV Charging Stations</t>
  </si>
  <si>
    <t>Notice of proposed rulemaking - The Architectural and Transportation Barriers Compliance Board (hereafter, “Access Board” or “Board”), is issuing this notice of proposed rulemaking to amend the accessibility guidelines for buildings and facilities covered by the Americans with Disabilities Act of 1990 (ADA) and the Architectural Barriers Act of 1968 (ABA) to specifically address the accessibility of Electric Vehicle Charging stations. This proposed rule provides specifications for the accessibility of EV charging stations, to include the EV charger (including physical and communication access), EV charging space, access aisles, and accessible routes.</t>
  </si>
  <si>
    <t>EV charging stations; accessibility; Aids for disabled or handicapped persons (ICS code(s): 11.180); Electronic display devices (ICS code(s): 31.120); Electric road vehicles (ICS code(s): 43.120)</t>
  </si>
  <si>
    <t>11.180 - Aids for disabled or handicapped persons; 31.120 - Electronic display devices; 43.120 - Electric road vehicles</t>
  </si>
  <si>
    <d:r xmlns:d="http://schemas.openxmlformats.org/spreadsheetml/2006/main">
      <d:rPr>
        <d:sz val="11"/>
        <d:rFont val="Calibri"/>
      </d:rPr>
      <d:t xml:space="preserve">https://members.wto.org/crnattachments/2024/TBT/USA/24_05820_00_e.pdf</d:t>
    </d:r>
  </si>
  <si>
    <t>Removal of import conditions for fresh willow foliage (Salix spp.) grown and exported from the United States of America effective immediately</t>
  </si>
  <si>
    <t xml:space="preserve">Following the Department of Agriculture, Fisheries and Forestry’s technical assessment of Salix spp. (willow) and its association with Phytophthora ramorum, fresh Salix spp. cuttings/foliage grown and exported from the United States of America (USA) will no longer be permitted import into Australian territory.The biosecurity risk of P. ramorum associated with Salix spp. imported as fresh cut foliage from the United States of America cannot be managed appropriately.Restricting import of Salix spp. fresh foliage to Israel, a low-risk P. ramorum country, is consistent with how the department manages other P. ramorum hosts._x000D_
_x000D_
Considering import analytics, minimal impacts are expected to trade from the United States of America.</t>
  </si>
  <si>
    <t>Foliage, branches and other parts of plants, without flowers or flower buds, and grasses, mosses and lichens, of a kind suitable for bouquets or for ornamental purposes, fresh, dried, dyed, bleached, impregnated or otherwise prepared (HS code(s): 0604)</t>
  </si>
  <si>
    <t>0604 - Foliage, branches and other parts of plants, without flowers or flower buds, and grasses, mosses and lichens, of a kind suitable for bouquets or for ornamental purposes, fresh, dried, dyed, bleached, impregnated or otherwise prepared</t>
  </si>
  <si>
    <t>Plant health; Pests</t>
  </si>
  <si>
    <d:r xmlns:d="http://schemas.openxmlformats.org/spreadsheetml/2006/main">
      <d:rPr>
        <d:sz val="11"/>
        <d:rFont val="Calibri"/>
      </d:rPr>
      <d:t xml:space="preserve">https://bicon.agriculture.gov.au/BiconWeb4.0</d:t>
    </d:r>
  </si>
  <si>
    <t>Proposed partial amendments to the ”Regulation on Approval and Review of Biological Products”</t>
  </si>
  <si>
    <t xml:space="preserve">The proposed amendments to the ”Regulation on Approval and Review of Biological Products” are as follows:_x000D_
1) Addition of assessment standards for LBPs (Live Biotherapeutic Products)_x000D_
2) Providing grounds for accelerated review of new drugs</t>
  </si>
  <si>
    <t>Biological Products</t>
  </si>
  <si>
    <d:r xmlns:d="http://schemas.openxmlformats.org/spreadsheetml/2006/main">
      <d:rPr>
        <d:sz val="11"/>
        <d:rFont val="Calibri"/>
      </d:rPr>
      <d:t xml:space="preserve">https://members.wto.org/crnattachments/2024/TBT/KOR/24_05840_00_x.pdf</d:t>
    </d:r>
  </si>
  <si>
    <t>Draft Normative Instruction number 814, 12 May 2020</t>
  </si>
  <si>
    <t>Normative Instruction 87, 15 March 2021 - previously notified through G/SPS/N/BRA/1674/Add.1 - was changed by Normative Instruction 311, 27 August 2024. The normative instruction establishes the lists of vegetable species authorized for the production of vegetable fats and oils, profiles of fatty acids.The final text is available only in Portuguese and can be downloaded at:</t>
  </si>
  <si>
    <t>HS Code(s): 2106; ICS Code(s): 13, 65</t>
  </si>
  <si>
    <t>2106 - Food preparations, n.e.s.; 2106 - Food preparations, n.e.s.</t>
  </si>
  <si>
    <t>13 - ENVIRONMENT. HEALTH PROTECTION. SAFETY; 13 - ENVIRONMENT. HEALTH PROTECTION. SAFETY; 65 - AGRICULTURE; 65 - AGRICULTURE</t>
  </si>
  <si>
    <d:r xmlns:d="http://schemas.openxmlformats.org/spreadsheetml/2006/main">
      <d:rPr>
        <d:sz val="11"/>
        <d:rFont val="Calibri"/>
      </d:rPr>
      <d:t xml:space="preserve">https://members.wto.org/crnattachments/2024/SPS/BRA/24_05772_00_x.pdf
https://antigo.anvisa.gov.br/legislacao#/visualizar/523611</d:t>
    </d:r>
  </si>
  <si>
    <t>Proposal of maximum residue limits (MRLs) for the following agricultural chemical:Pesticide: Cyflumetofen.</t>
  </si>
  <si>
    <t>Meat and edible meat offal (HS codes: 02.01, 02.02, 02.03, 02.04, 02.05, 02.06, 02.08 and 02.09)Dairy produce and natural honey (HS codes: 04.01 and 04.09)Animal originated products (HS code: 05.04)Edible vegetables and certain roots and tubers (HS codes: 07.02, 07.04, 07.07, 07.08, 07.09, 07.10 and 07.14)Edible fruit and nuts, peel of citrus fruit (HS codes: 08.01, 08.02, 08.04, 08.05, 08.06, 08.07, 08.08, 08.09, 08.10, 08.11 and 08.14)Tea, mate and spices (HS codes: 09.02, 09.03, 09.04, 09.05, 09.06, 09.07, 09.08, 09.09 and 09.10)Oil seeds and oleaginous fruits, miscellaneous grains, seeds and fruit (HS codes: 12.07, 12.10 and 12.12)Animal fats and oils (HS codes: 15.01, 15.02 and 15.06)                      </t>
  </si>
  <si>
    <t>0201 - Meat of bovine animals, fresh or chilled;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0809 - Apricots, cherries, peaches incl. nectarines, plums and sloes, fresh; 0808 - Apples, pears and quinces, fresh; 0807 - Melons, incl. watermelons, and papaws "papayas", fresh; 0806 - Grapes, fresh or dried; 0805 - Citrus fruit, fresh or dried; 0804 - Dates, figs, pineapples, avocados, guavas, mangoes and mangosteens, fresh or dried; 0802 - Other nuts, fresh or dried, whether or not shelled or peeled (excl. coconuts, Brazil nuts and cashew nuts); 0801 - Coconuts, Brazil nuts and cashew nuts, fresh or dried, whether or not shelled or peeled; 0714 - Roots and tubers of manioc, arrowroot, salep, Jerusalem artichokes, sweet potatoes and similar roots and tubers with high starch or inulin content, fresh, chilled, frozen or dried, whether or not sliced or in the form of pellets; sago pith; 0710 - Vegetables, uncooked or cooked by steaming or boiling in water, frozen; 0811 - Fruit and nuts, uncooked or cooked by steaming or boiling in water, frozen, whether or not containing added sugar or other sweetening matter;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0707 - Cucumbers and gherkins, fresh or chilled.; 0704 - Cabbages, cauliflowers, kohlrabi, kale and similar edible brassicas, fresh or chilled; 0702 - Tomatoes, fresh or chilled.; 0504 - Guts, bladders and stomachs of animals (other than fish), whole and pieces thereof, fresh, chilled, frozen, salted, in brine, dried or smoked.;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0708 - Leguminous vegetables, shelled or unshelled, fresh or chilled; 0814 - Peel of citrus fruit or melons (including watermelons), fresh, frozen, dried or provisionally preserved in brine, in sulphur water or in other preservative solutions.; 0902 - Tea, whether or not flavoured; 0903 - Maté.; 0904 - Pepper of the genus Piper; dried or crushed or ground fruits of the genus Capsicum or of the genus Pimenta; 0905 - Vanilla; 0906 - Cinnamon and cinnamon-tree flowers; 0907 - Cloves, whole fruit, cloves and stems; 0908 - Nutmeg, mace and cardamoms; 0909 - Seeds of anis, badian, fennel, coriander, cumin or caraway; juniper berries;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1207 - Other oil seeds and oleaginous fruits, whether or not broken (excl. edible nuts, olives, soya beans, groundnuts, copra, linseed, rape or colza seeds and sunflower seeds); 1210 - Hop cones, fresh or dried, whether or not ground, powdered or in the form of pellets; lupulin;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1501 - Pig fat, incl. lard, and poultry fat, rendered or otherwise extracted (excl. lard stearin and lard oil); 1502 - Fats of bovine animals, sheep or goats (excl. oil and oleostearin); 1506 - Other animal fats and oils and their fractions, whether or not refined, but not chemically modified.</t>
  </si>
  <si>
    <d:r xmlns:d="http://schemas.openxmlformats.org/spreadsheetml/2006/main">
      <d:rPr>
        <d:sz val="11"/>
        <d:rFont val="Calibri"/>
      </d:rPr>
      <d:t xml:space="preserve">https://members.wto.org/crnattachments/2024/SPS/JPN/24_05843_00_e.pdf</d:t>
    </d:r>
  </si>
  <si>
    <t>Established Maximum Residue Limit: Metsulfuron-methyl</t>
  </si>
  <si>
    <t>The proposed maximum residue limit (PMRL) document for metsulfuron-methyl notified in G/SPS/N/CAN/1556 (dated 6 June 2024) was adopted 28 August 2024. The proposed MRL was established via entry into the Maximum Residue Limits Database and is provided directly below: MRL (ppm)1 Raw Agricultural Commodity (RAC) and/or Processed Commodity0.1                   Oats1 ppm = parts per millionMRLs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</si>
  <si>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metsulfuron-methyl in or on oats (ICS codes: 65.020, 65.100, 67.040, 67.060)</t>
  </si>
  <si>
    <t>65.020 - Farming and forestry; 65.020 - Farming and forestry; 65.100 - Pesticides and other agrochemicals; 65.100 - Pesticides and other agrochemicals; 67.040 - Food products in general; 67.040 - Food products in general; 67.060 - Cereals, pulses and derived products; 67.060 - Cereals, pulses and derived products</t>
  </si>
  <si>
    <t>Law amending and supplementing a number of articles of the Law on Product and Goods Quality</t>
  </si>
  <si>
    <t xml:space="preserve">The Law on Product and Goods Quality stipulates the rights and obligations of organizations and individuals producing and trading products and goods and organizations and individuals with activities related to product and goods quality; and product and goods quality management;_x000D_
The Law on Product and Goods Quality applies to organizations and individuals producing and trading products and goods and organizations and individuals with activities related to product and goods quality in Vietnam._x000D_
This draft Law amends, supplements, adds and abolishes a number of articles of the Law on Product and Goods Quality, as follows:_x000D_
1. Supplement and amend the following Articles: 3, 5, 6, 7, 10, 11, 12, 14, 16, 17, 26, 27, 28, 31, 34, 35, 36, 37, 40, 45, 47, 48, 68, 69, 70_x000D_
2. New entry of the following Articles: _x000D_
- Article 7a on National Quality Infrastructure_x000D_
- Article 7b on application of technology in product and goods quality management_x000D_
- Article 25a. Assessment of conformity for state management purposes_x000D_
3. Abolishing:_x000D_
- Regulations on “Paying costs and fees for inspection of imported goods quality as prescribed in Article 37” in Clause 15, Article 12._x000D_
- Regulations on “Collecting fees for inspection of imported goods quality as prescribed in Article 37” in Clause 7, Article 19._x000D_
- Regulations on Clauses 2 and 3, Article 37, Article 44 and Clause 3, Article 66._x000D_
Transitional provisions_x000D_
1. In case products and goods have been manufactured, imported, circulated on the market within the effective period stated in the decision, the notice of receipt of dossiers for declaration of conformity, the certificates of conformity and have been managed in accordance with the provisions of the Law on Product and Goods Quality before the effective date of this Law, they will continue to be circulated on the market._x000D_
2. In case the conformity assessment organizations have registered their conformity assessment activities or have been designated to serve state management in accordance with the provisions of the Law on Product and Goods Quality before the effective date of this Law, they will continue their business until the end of the effective period stated in the certificate or designation decision.</t>
  </si>
  <si>
    <t>Quality of product and goods</t>
  </si>
  <si>
    <d:r xmlns:d="http://schemas.openxmlformats.org/spreadsheetml/2006/main">
      <d:rPr>
        <d:sz val="11"/>
        <d:rFont val="Calibri"/>
      </d:rPr>
      <d:t xml:space="preserve">https://members.wto.org/crnattachments/2024/TBT/VNM/24_05857_00_x.pdf</d:t>
    </d:r>
  </si>
  <si>
    <t>Proposal of maximum residue limits (MRLs) for the following agricultural chemical:Pesticide/Veterinary drug: Fenitrothion.</t>
  </si>
  <si>
    <t>Meat and edible meat offal (HS codes: 02.01, 02.02, 02.03, 02.04, 02.05, 02.06, 02.07, 02.08 and 02.09)Aquatic animals and crustaceans, molluscs and other aquatic invertebrates (HS codes: 03.02, 03.03, 03.04, 03.06, 03.07 and 03.08)Dairy produce, birds' eggs and natural honey (HS codes: 04.01, 04.07, 04.08 and 04.09)Animal originated products (HS code: 05.04)Edible vegetables and certain roots and tubers (HS codes: 07.01, 07.02, 07.03, 07.04,  07.07, 07.08, 07.09, 07.10, 07.13 and 07.14)Edible fruit and nuts, peel of citrus fruit (HS codes: 08.02, 08.04, 08.05, 08.06, 08.07, 08.08, 08.09, 08.10, 08.11 and 08.14)Tea, mate and spices (HS codes: 09.02, 09.03, 09.04, 09.05, 09.06, 09.07, 09.08, 09.09 and 09.10)Cereals (HS codes: 10.01, 10.02, 10.03, 10.04, 10.05, 10.06, 10.07 and 10.08)Oil seeds and oleaginous fruits, miscellaneous grains, seeds and fruit (HS codes: 12.01, 12.02, 12.04, 12.07 and 12.12)Animal fats and oils (HS codes: 15.01, 15.02 and 15.06)</t>
  </si>
  <si>
    <t>0201 - Meat of bovine animals, fresh or chilled; 0807 - Melons, incl. watermelons, and papaws "papayas", fresh; 0808 - Apples, pears and quinces, fresh; 0809 - Apricots, cherries, peaches incl. nectarines, plums and sloes,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0814 - Peel of citrus fruit or melons (including watermelons), fresh, frozen, dried or provisionally preserved in brine, in sulphur water or in other preservative solutions.; 0902 - Tea, whether or not flavoured; 0903 - Maté.; 0904 - Pepper of the genus Piper; dried or crushed or ground fruits of the genus Capsicum or of the genus Pimenta; 0905 - Vanilla; 0906 - Cinnamon and cinnamon-tree flowers; 0907 - Cloves, whole fruit, cloves and stems; 0908 - Nutmeg, mace and cardamoms; 0909 - Seeds of anis, badian, fennel, coriander, cumin or caraway; juniper berries;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1001 - Wheat and meslin; 1002 - Rye; 1003 - Barley; 1004 - Oats; 1005 - Maize or corn; 1006 - Rice; 1007 - Grain sorghum; 1008 - Buckwheat, millet, canary seed and other cereals (excl. wheat and meslin, rye, barley, oats, maize, rice and grain sorghum); 1201 - Soya beans, whether or not broken; 1202 - Groundnuts, whether or not shelled or broken (excl. roasted or otherwise cooked); 1204 - Linseed, whether or not broken.; 1207 - Other oil seeds and oleaginous fruits, whether or not broken (excl. edible nuts, olives, soya beans, groundnuts, copra, linseed, rape or colza seeds and sunflower seeds);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1501 - Pig fat, incl. lard, and poultry fat, rendered or otherwise extracted (excl. lard stearin and lard oil); 0806 - Grapes, fresh or dried; 1502 - Fats of bovine animals, sheep or goats (excl. oil and oleostearin); 0805 - Citrus fruit, fresh or dried; 0802 - Other nuts, fresh or dried, whether or not shelled or peeled (excl. coconuts, Brazil nuts and cashew nuts);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0302 - Fish, fresh or chilled (excl. fish fillets and other fish meat of heading 0304); 0303 - Frozen fish (excl. fish fillets and other fish meat of heading 0304); 0304 - Fish fillets and other fish meat, whether or not minced, fresh, chilled or frozen; 0306 - Crustaceans, whether in shell or not, live, fresh, chilled, frozen, dried, salted or in brine, even smoked, incl. crustaceans in shell cooked by steaming or by boiling in water; 0307 - Molluscs, fit for human consumption, even smoked, whether in shell or not, live, fresh, chilled, frozen, dried, salted or in brine; 0308 - Aquatic invertebrates other than crustaceans and molluscs, live, fresh, chilled, frozen, dried, salted or in brine, even smoked;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0409 - Natural honey.; 0504 - Guts, bladders and stomachs of animals (other than fish), whole and pieces thereof, fresh, chilled, frozen, salted, in brine, dried or smoked.; 0701 - Potatoes, fresh or chilled; 0702 - Tomatoes, fresh or chilled.; 0703 - Onions, shallots, garlic, leeks and other alliaceous vegetables, fresh or chilled; 0704 - Cabbages, cauliflowers, kohlrabi, kale and similar edible brassicas, fresh or chilled; 0707 - Cucumbers and gherkins, fresh or chilled.; 0708 - Leguminous vegetables, shelled or unshelled,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0710 - Vegetables, uncooked or cooked by steaming or boiling in water, frozen; 0713 - Dried leguminous vegetables, shelled, whether or not skinned or split; 0714 - Roots and tubers of manioc, arrowroot, salep, Jerusalem artichokes, sweet potatoes and similar roots and tubers with high starch or inulin content, fresh, chilled, frozen or dried, whether or not sliced or in the form of pellets; sago pith; 0804 - Dates, figs, pineapples, avocados, guavas, mangoes and mangosteens, fresh or dried; 1506 - Other animal fats and oils and their fractions, whether or not refined, but not chemically modified.</t>
  </si>
  <si>
    <d:r xmlns:d="http://schemas.openxmlformats.org/spreadsheetml/2006/main">
      <d:rPr>
        <d:sz val="11"/>
        <d:rFont val="Calibri"/>
      </d:rPr>
      <d:t xml:space="preserve">https://members.wto.org/crnattachments/2024/SPS/JPN/24_05849_00_e.pdf</d:t>
    </d:r>
  </si>
  <si>
    <t>Proposal of maximum residue limits (MRLs) for the following agricultural chemical:Veterinary drug: Sulfamonomethoxine.</t>
  </si>
  <si>
    <t>Meat and edible meat offal (HS codes: 02.01, 02.02, 02.03, 02.04, 02.05, 02.06, 02.07, 02.08 and 02.09)Aquatic animals and crustaceans, molluscs and other aquatic invertebrates (HS codes: 03.02, 03.03 and 03.04)Animal originated products (HS code: 05.04)Animal fats and oils (HS codes: 15.01, 15.02 and 15.06)</t>
  </si>
  <si>
    <t>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0201 - Meat of bovine animals, fresh or chilled;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0302 - Fish, fresh or chilled (excl. fish fillets and other fish meat of heading 0304); 0303 - Frozen fish (excl. fish fillets and other fish meat of heading 0304); 0304 - Fish fillets and other fish meat, whether or not minced, fresh, chilled or frozen; 0504 - Guts, bladders and stomachs of animals (other than fish), whole and pieces thereof, fresh, chilled, frozen, salted, in brine, dried or smoked.; 1501 - Pig fat, incl. lard, and poultry fat, rendered or otherwise extracted (excl. lard stearin and lard oil); 1502 - Fats of bovine animals, sheep or goats (excl. oil and oleostearin); 1506 - Other animal fats and oils and their fractions, whether or not refined, but not chemically modified.</t>
  </si>
  <si>
    <d:r xmlns:d="http://schemas.openxmlformats.org/spreadsheetml/2006/main">
      <d:rPr>
        <d:sz val="11"/>
        <d:rFont val="Calibri"/>
      </d:rPr>
      <d:t xml:space="preserve">https://members.wto.org/crnattachments/2024/SPS/JPN/24_05856_00_e.pdf</d:t>
    </d:r>
  </si>
  <si>
    <t>Proposal of maximum residue limits (MRLs) for the following agricultural chemical:Veterinary drug: Sulfamoyldapsone.</t>
  </si>
  <si>
    <t>Meat and edible meat offal (HS codes: 02.03, 02.06 and 02.09)Animal originated products (HS code: 05.04)Animal fats and oils (HS code: 15.01)</t>
  </si>
  <si>
    <t>0203 - Meat of swine, fresh, chilled or frozen; 0206 - Edible offal of bovine animals, swine, sheep, goats, horses, asses, mules or hinnies, fresh, chilled or frozen; 0209 - Pig fat, free of lean meat, and poultry fat, not rendered or otherwise extracted, fresh, chilled, frozen, salted, in brine, dried or smoked; 0504 - Guts, bladders and stomachs of animals (other than fish), whole and pieces thereof, fresh, chilled, frozen, salted, in brine, dried or smoked.; 1501 - Pig fat, incl. lard, and poultry fat, rendered or otherwise extracted (excl. lard stearin and lard oil)</t>
  </si>
  <si>
    <d:r xmlns:d="http://schemas.openxmlformats.org/spreadsheetml/2006/main">
      <d:rPr>
        <d:sz val="11"/>
        <d:rFont val="Calibri"/>
      </d:rPr>
      <d:t xml:space="preserve">https://members.wto.org/crnattachments/2024/SPS/JPN/24_05858_00_e.pdf</d:t>
    </d:r>
  </si>
  <si>
    <t>Proposal of maximum residue limits (MRLs) for the following agricultural chemical:Veterinary drug: Sulfisozole.</t>
  </si>
  <si>
    <t>Aquatic animals and crustaceans, molluscs and other aquatic invertebrates (HS codes: 03.02, 03.03, 03.04, 03.07 and 03.08)                  </t>
  </si>
  <si>
    <t>0302 - Fish, fresh or chilled (excl. fish fillets and other fish meat of heading 0304); 0303 - Frozen fish (excl. fish fillets and other fish meat of heading 0304); 0304 - Fish fillets and other fish meat, whether or not minced, fresh, chilled or frozen; 0307 - Molluscs, fit for human consumption, even smoked, whether in shell or not, live, fresh, chilled, frozen, dried, salted or in brine; 0308 - Aquatic invertebrates other than crustaceans and molluscs, live, fresh, chilled, frozen, dried, salted or in brine, even smoked</t>
  </si>
  <si>
    <d:r xmlns:d="http://schemas.openxmlformats.org/spreadsheetml/2006/main">
      <d:rPr>
        <d:sz val="11"/>
        <d:rFont val="Calibri"/>
      </d:rPr>
      <d:t xml:space="preserve">https://members.wto.org/crnattachments/2024/SPS/JPN/24_05859_00_e.pdf</d:t>
    </d:r>
  </si>
  <si>
    <t>Proposal of maximum residue limits (MRLs) for the following agricultural chemical:Veterinary drug: Tylosin.</t>
  </si>
  <si>
    <t>Meat and edible meat offal (HS codes: 02.01, 02.02, 02.03, 02.04, 02.05, 02.06, 02.07, 02.08 and 02.09)Dairy produce, birds' eggs and natural honey (HS codes: 04.01, 04.07, 04.08 and 04.09)Animal originated products (HS code: 05.04)Animal fats and oils (HS codes: 15.01, 15.02 and 15.06)</t>
  </si>
  <si>
    <t>0205 - Meat of horses, asses, mules or hinnies, fresh, chilled or frozen.; 1501 - Pig fat, incl. lard, and poultry fat, rendered or otherwise extracted (excl. lard stearin and lard oil); 0504 - Guts, bladders and stomachs of animals (other than fish), whole and pieces thereof, fresh, chilled, frozen, salted, in brine, dried or smoked.; 0409 - Natural honey.; 0408 - Birds' eggs, not in shell, and egg yolks, fresh, dried, cooked by steaming or by boiling in water, moulded, frozen or otherwise preserved, whether or not containing added sugar or other sweetening matter; 0407 - Birds' eggs, in shell, fresh, preserved or cooked; 0401 - Milk and cream, not concentrated nor containing added sugar or other sweetening matter; 1502 - Fats of bovine animals, sheep or goats (excl. oil and oleostearin); 0209 - Pig fat, free of lean meat, and poultry fat, not rendered or otherwise extracted, fresh, chilled, frozen, salted, in brine, dried or smoked; 0207 - Meat and edible offal of fowls of the species Gallus domesticus, ducks, geese, turkeys and guinea fowls, fresh, chilled or frozen; 0206 - Edible offal of bovine animals, swine, sheep, goats, horses, asses, mules or hinnies, fresh, chilled or frozen; 0201 - Meat of bovine animals, fresh or chilled; 0202 - Meat of bovine animals, frozen; 0203 - Meat of swine, fresh, chilled or frozen; 0204 - Meat of sheep or goats, fresh, chilled or frozen; 0208 - Meat and edible offal of rabbits, hares, pigeons and other animals, fresh, chilled or frozen (excl. of bovine animals, swine, sheep, goats, horses, asses, mules, hinnies, poultry "fowls of the species Gallus domesticus", ducks, geese, turkeys and guinea fowls); 1506 - Other animal fats and oils and their fractions, whether or not refined, but not chemically modified.</t>
  </si>
  <si>
    <d:r xmlns:d="http://schemas.openxmlformats.org/spreadsheetml/2006/main">
      <d:rPr>
        <d:sz val="11"/>
        <d:rFont val="Calibri"/>
      </d:rPr>
      <d:t xml:space="preserve">https://members.wto.org/crnattachments/2024/SPS/JPN/24_05860_00_e.pdf</d:t>
    </d:r>
  </si>
  <si>
    <t>Proposal of maximum residue limits (MRLs) for the following agricultural chemical:Veterinary drug: Sulfadimethoxine.</t>
  </si>
  <si>
    <t>Meat and edible meat offal (HS codes: 02.01, 02.02, 02.03, 02.04, 02.05, 02.06, 02.07, 02.08 and 02.09)Aquatic animals and crustaceans, molluscs and other aquatic invertebrates (HS codes: 03.02, 03.03 and 03.04)Dairy produce and birds' eggs (HS codes: 04.01, 04.07 and 04.08)Animal originated products (HS code: 05.04)Animal fats and oils (HS codes: 15.01, 15.02 and 15.06)</t>
  </si>
  <si>
    <d:r xmlns:d="http://schemas.openxmlformats.org/spreadsheetml/2006/main">
      <d:rPr>
        <d:sz val="11"/>
        <d:rFont val="Calibri"/>
      </d:rPr>
      <d:t xml:space="preserve">https://members.wto.org/crnattachments/2024/SPS/JPN/24_05852_00_e.pdf</d:t>
    </d:r>
  </si>
  <si>
    <t>Proposal of maximum residue limits (MRLs) for the following agricultural chemical:Veterinary drug: Sulfadoxine.</t>
  </si>
  <si>
    <t>Meat and edible meat offal (HS codes: 02.01, 02.02, 02.03, 02.04, 02.05, 02.06, 02.08 and 02.09)Dairy produce (HS code: 04.01)Animal originated products (HS code: 05.04)Animal fats and oils (HS codes: 15.01, 15.02 and 15.06)</t>
  </si>
  <si>
    <t>0201 - Meat of bovine animals, fresh or chilled;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0401 - Milk and cream, not concentrated nor containing added sugar or other sweetening matter; 0504 - Guts, bladders and stomachs of animals (other than fish), whole and pieces thereof, fresh, chilled, frozen, salted, in brine, dried or smoked.; 1501 - Pig fat, incl. lard, and poultry fat, rendered or otherwise extracted (excl. lard stearin and lard oil); 1502 - Fats of bovine animals, sheep or goats (excl. oil and oleostearin); 1506 - Other animal fats and oils and their fractions, whether or not refined, but not chemically modified.</t>
  </si>
  <si>
    <d:r xmlns:d="http://schemas.openxmlformats.org/spreadsheetml/2006/main">
      <d:rPr>
        <d:sz val="11"/>
        <d:rFont val="Calibri"/>
      </d:rPr>
      <d:t xml:space="preserve">https://members.wto.org/crnattachments/2024/SPS/JPN/24_05854_00_e.pdf</d:t>
    </d:r>
  </si>
  <si>
    <t>Amending import conditions for fresh willow (Salix spp.) and myrtle (Myrtus spp.) grown and exported from Israel</t>
  </si>
  <si>
    <t xml:space="preserve">Certification:All consignments of willow and myrtle exported to Australia, will require a phytosanitary certificate, from 16 September 2024. This is to provide assurances of pre-export processes and management.Treatment:Consignments of fresh willow foliage, sent via airfreight or sea freight, must be treated prior to export with methyl bromide fumigation at 32g/m³ for 2 hours at 21 °C and above. This pre-shipment treatment must be certified in the treatment section of the phytosanitary certificate, from 16 September 2024.Personal consignments, imported as passenger baggage (up to six small boxes) are permitted without treatment, however, will still require phytosanitary certification._x000D_
Considering import analytics, minimal impacts are expected to trade from Israel. </t>
  </si>
  <si>
    <t>The establishment of an exemption from the requirement of an MRL for residues of pesticide: BLAD; it will be stipulated to be "the substance in food that does not pose any adverse health effect".</t>
  </si>
  <si>
    <t>All food</t>
  </si>
  <si>
    <d:r xmlns:d="http://schemas.openxmlformats.org/spreadsheetml/2006/main">
      <d:rPr>
        <d:sz val="11"/>
        <d:rFont val="Calibri"/>
      </d:rPr>
      <d:t xml:space="preserve">https://members.wto.org/crnattachments/2024/SPS/JPN/24_05842_00_e.pdf</d:t>
    </d:r>
  </si>
  <si>
    <t>Draft Order of the Ministry of Environmental Protection and Natural Resources of Ukraine "On Approval of the Procedure for Labelling of Controlled Substances, Goods and Equipment"</t>
  </si>
  <si>
    <t>Ukraine notifies the adoption of the Order of the Ministry of Environmental Protection and Natural Resources of Ukraine No 661 "On Approval of the Procedure for Labelling of Controlled Substances, Goods and Equipment" of 10 June 2024.The Order was registered in the Ministry of Justice of Ukraine on 07 August 2024 and  published on 29 August 2024.The Order will enter into force on 1 March 2025. </t>
  </si>
  <si>
    <t xml:space="preserve">controlled substances (ozone-depleting substances and fluorinated greenhouse gases), goods and equipment containing ozone-depleting substances and fluorinated greenhouse gases._x000D_
The list of controlled substances, as well as goods and equipment, if they contain controlled substances, covered by the notified measure, is attached to this notification._x000D_
</t>
  </si>
  <si>
    <t>2903 - Halogenated derivatives of hydrocarbons; 3827 - Mixtures containing halogenated derivatives of methane, ethane or propane, n.e.s.; 3910 - Silicones in primary forms.; 8414 - Air or vacuum pumps (excl. gas compound elevators and pneumatic elevators and conveyors); air or other gas compressors and fans; ventilating or recycling hoods incorporating a fan, whether or not fitted with filters; gas-tight biological safety cabinets, whether or not fitted with filters; parts thereof; 8415 - Air conditioning machines comprising a motor-driven fan and elements for changing the temperature and humidity, incl. those machines in which the humidity cannot be separately regulated; parts thereof; 8419 - 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 8421 - Centrifuges, incl. centrifugal dryers (excl. those for isotope separation); filtering or purifying machinery and apparatus, for liquids or gases; parts thereof (excl. artificial kidneys); 8422 - Dishwashing machines; machinery for cleaning or drying bottles or other containers; machinery for filling, closing, sealing or labelling bottles, cans, boxes, bags or other containers; machinery for capsuling bottles, jars, tubes and similar containers; other packing or wrapping machinery, incl. heat-shrink wrapping machinery; machinery for aerating beverages; parts thereof; 3824 - Prepared binders for foundry moulds or cores; chemical products and preparations for the chemical or allied industries, incl. mixtures of natural products, n.e.s.; 8424 - 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 8451 - Machinery (excl. of heading 8450) for washing, cleaning, wringing, drying, ironing, pressing incl. fusing presses, bleaching, dyeing, dressing, finishing, coating or impregnating textile yarns, fabrics or made-up textile articles and for applying paste to the base fabric or other support used in the manufacture of floor coverings like linoleum; machines for reeling, unreeling, folding, cutting or pinking textile fabrics; parts thereof; 8456 - Machine tools for working any material by removal of material, by laser or other light or photon beam, ultrasonic, electro-discharge, electro-chemical, electron beam, ionic-beam or plasma arc processes; water-jet cutting machines (excl. cleaning apparatus operated by ultrasonic processes, soldering and welding machines, incl. those which can be used for cutting, and material testing machines); 8476 - Automatic goods-vending machines, e.g. postage stamp, cigarette, food or beverage machines, incl. money-changing machines; parts thereof; 8479 - Machines and mechanical appliances having individual functions, not specified or included elsewhere in this chapter; parts thereof; 8509 - Electromechanical domestic appliances, with self-contained electric motor; parts thereof (excl. vacuum cleaners, dry and wet vacuum cleaners); 9027 - Instruments and apparatus for physical or chemical analysis, e.g. polarimeters, refractometers, spectrometers, gas or smoke analysis apparatus; instruments and apparatus for measuring or checking viscosity, porosity, expansion, surface tension or the like; instruments and apparatus for measuring or checking quantities of heat, sound or light, incl. exposure meters; microtomes; 9304 - Other arms (for example, spring, air or gas guns and pistols, truncheons), excluding those of heading 93.07.; 8438 - Machinery, not specified or included elsewhere in this chapter, for the industrial preparation or manufacture of food or drink (other than machinery for the extraction or preparation of animal or fixed vegetable fats or oils); parts thereof; 3820 - Anti-freezing preparations and prepared de-icing fluids.; 8418 - Refrigerators, freezers and other refrigerating or freezing equipment, electric or other; heat pumps; parts thereof (excl. air conditioning machines of heading 8415); 3813 - Preparations and charges for fire-extinguishers; charged fire-extinguishing grenades.; 3004 - Medicaments consisting of mixed or unmixed products for therapeutic or prophylactic uses, put up in measured doses "incl. those for transdermal administration" or in forms or packings for retail sale (excl. goods of heading 3002, 3005 or 3006); 3204 - Synthetic organic colouring matter, whether or not chemically defined; preparations based on synthetic organic colouring matter of a kind used to dye fabrics or produce colorant preparations; synthetic organic products of a kind used as fluorescent brightening agents or as luminophores, whether or not chemically defined (excl. preparations of heading 3207, 3208, 3209, 3210, 3213 and 3215); 3814 - Organic composite solvents and thinners, not elsewhere specified or included; prepared paint or varnish removers.; 3209 - Paints and varnishes, incl. enamels and lacquers, based on synthetic polymers or chemically modified natural polymers, dispersed or dissolved in an aqueous medium; 3214 - Glaziers' putty, grafting putty, resin cements, caulking compounds and other mastics; painters' fillings; non-refractory surfacing preparations for façades, indoor walls, floors, ceilings or the like; 3304 - Beauty or make-up preparations and preparations for the care of the skin, incl. sunscreen or suntan preparations (excl. medicaments); manicure or pedicure preparations; 3305 - Preparations for use on the hair; 3306 - Preparations for oral or dental hygiene, incl. denture fixative pastes and powders; yarn used to clean between the teeth "dental floss", in individual retail packages; 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 3401 - 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 3402 - Organic surface-active agents (excl. soap); surface-active preparations, washing preparations, incl. auxiliary washing preparations, and cleaning preparations, whether or not containing soap (excl. those of heading 3401); 3403 - 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 3405 - Shoe polish, furniture wax and floor waxes, polishes and creams for coachwork, glass or metal, scouring pastes and powders and similar preparations, whether or not in the form of paper, wadding, felt, nonwovens, sponge plastics, cellular plastics or cellular rubber, impregnated, coated or covered with such preparations (excl. artificial and prepared waxes of heading 3404); 3808 - Insecticides, rodenticides, fungicides, herbicides, anti-sprouting products and plant-growth regulators, disinfectants and similar products, put up for retail sale or as preparations or articles, e.g. sulphur-treated bands, wicks and candles, and fly-papers; 3809 - Finishing agents, dye carriers to accelerate the dyeing or fixing of dyestuffs and other products and preparations such as dressings and mordants of a kind used in the textile, paper, leather or like industries, n.e.s.; 3812 - Prepared rubber accelerators; compound plasticisers for rubber or plastics, n.e.s.; anti-oxidising preparations and other compound stabilisers for rubber or plastics; 3307 - Shaving preparations, incl. pre-shave and aftershave products, personal deodorants, bath and shower preparations, depilatories and other perfumery, toilet or cosmetic preparations, n.e.s.; prepared room deodorisers, whether or not perfumed or having disinfectant properties; 8418 - Refrigerators, freezers and other refrigerating or freezing equipment, electric or other; heat pumps; parts thereof (excl. air conditioning machines of heading 8415); 3204 - Synthetic organic colouring matter, whether or not chemically defined; preparations based on synthetic organic colouring matter of a kind used to dye fabrics or produce colorant preparations; synthetic organic products of a kind used as fluorescent brightening agents or as luminophores, whether or not chemically defined (excl. preparations of heading 3207, 3208, 3209, 3210, 3213 and 3215); 3004 - Medicaments consisting of mixed or unmixed products for therapeutic or prophylactic uses, put up in measured doses "incl. those for transdermal administration" or in forms or packings for retail sale (excl. goods of heading 3002, 3005 or 3006); 3814 - Organic composite solvents and thinners, not elsewhere specified or included; prepared paint or varnish removers.; 3209 - Paints and varnishes, incl. enamels and lacquers, based on synthetic polymers or chemically modified natural polymers, dispersed or dissolved in an aqueous medium; 3214 - Glaziers' putty, grafting putty, resin cements, caulking compounds and other mastics; painters' fillings; non-refractory surfacing preparations for façades, indoor walls, floors, ceilings or the like; 3304 - Beauty or make-up preparations and preparations for the care of the skin, incl. sunscreen or suntan preparations (excl. medicaments); manicure or pedicure preparations; 3305 - Preparations for use on the hair; 3306 - Preparations for oral or dental hygiene, incl. denture fixative pastes and powders; yarn used to clean between the teeth "dental floss", in individual retail packages; 2903 - Halogenated derivatives of hydrocarbons; 3401 - 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 3402 - Organic surface-active agents (excl. soap); surface-active preparations, washing preparations, incl. auxiliary washing preparations, and cleaning preparations, whether or not containing soap (excl. those of heading 3401); 3403 - 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 3405 - Shoe polish, furniture wax and floor waxes, polishes and creams for coachwork, glass or metal, scouring pastes and powders and similar preparations, whether or not in the form of paper, wadding, felt, nonwovens, sponge plastics, cellular plastics or cellular rubber, impregnated, coated or covered with such preparations (excl. artificial and prepared waxes of heading 3404); 3808 - Insecticides, rodenticides, fungicides, herbicides, anti-sprouting products and plant-growth regulators, disinfectants and similar products, put up for retail sale or as preparations or articles, e.g. sulphur-treated bands, wicks and candles, and fly-papers; 3809 - Finishing agents, dye carriers to accelerate the dyeing or fixing of dyestuffs and other products and preparations such as dressings and mordants of a kind used in the textile, paper, leather or like industries, n.e.s.; 3813 - Preparations and charges for fire-extinguishers; charged fire-extinguishing grenades.; 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 3827 - Mixtures containing halogenated derivatives of methane, ethane or propane, n.e.s.; 3910 - Silicones in primary forms.; 3820 - Anti-freezing preparations and prepared de-icing fluids.; 8438 - Machinery, not specified or included elsewhere in this chapter, for the industrial preparation or manufacture of food or drink (other than machinery for the extraction or preparation of animal or fixed vegetable fats or oils); parts thereof; 9304 - Other arms (for example, spring, air or gas guns and pistols, truncheons), excluding those of heading 93.07.; 9027 - Instruments and apparatus for physical or chemical analysis, e.g. polarimeters, refractometers, spectrometers, gas or smoke analysis apparatus; instruments and apparatus for measuring or checking viscosity, porosity, expansion, surface tension or the like; instruments and apparatus for measuring or checking quantities of heat, sound or light, incl. exposure meters; microtomes; 8509 - Electromechanical domestic appliances, with self-contained electric motor; parts thereof (excl. vacuum cleaners, dry and wet vacuum cleaners); 8479 - Machines and mechanical appliances having individual functions, not specified or included elsewhere in this chapter; parts thereof; 8476 - Automatic goods-vending machines, e.g. postage stamp, cigarette, food or beverage machines, incl. money-changing machines; parts thereof; 3812 - Prepared rubber accelerators; compound plasticisers for rubber or plastics, n.e.s.; anti-oxidising preparations and other compound stabilisers for rubber or plastics; 8456 - Machine tools for working any material by removal of material, by laser or other light or photon beam, ultrasonic, electro-discharge, electro-chemical, electron beam, ionic-beam or plasma arc processes; water-jet cutting machines (excl. cleaning apparatus operated by ultrasonic processes, soldering and welding machines, incl. those which can be used for cutting, and material testing machines); 8424 - 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 3824 - Prepared binders for foundry moulds or cores; chemical products and preparations for the chemical or allied industries, incl. mixtures of natural products, n.e.s.; 8422 - Dishwashing machines; machinery for cleaning or drying bottles or other containers; machinery for filling, closing, sealing or labelling bottles, cans, boxes, bags or other containers; machinery for capsuling bottles, jars, tubes and similar containers; other packing or wrapping machinery, incl. heat-shrink wrapping machinery; machinery for aerating beverages; parts thereof; 8421 - Centrifuges, incl. centrifugal dryers (excl. those for isotope separation); filtering or purifying machinery and apparatus, for liquids or gases; parts thereof (excl. artificial kidneys); 8419 - 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 8415 - Air conditioning machines comprising a motor-driven fan and elements for changing the temperature and humidity, incl. those machines in which the humidity cannot be separately regulated; parts thereof; 8414 - Air or vacuum pumps (excl. gas compound elevators and pneumatic elevators and conveyors); air or other gas compressors and fans; ventilating or recycling hoods incorporating a fan, whether or not fitted with filters; gas-tight biological safety cabinets, whether or not fitted with filters; parts thereof; 8451 - Machinery (excl. of heading 8450) for washing, cleaning, wringing, drying, ironing, pressing incl. fusing presses, bleaching, dyeing, dressing, finishing, coating or impregnating textile yarns, fabrics or made-up textile articles and for applying paste to the base fabric or other support used in the manufacture of floor coverings like linoleum; machines for reeling, unreeling, folding, cutting or pinking textile fabrics; parts thereof; 3307 - Shaving preparations, incl. pre-shave and aftershave products, personal deodorants, bath and shower preparations, depilatories and other perfumery, toilet or cosmetic preparations, n.e.s.; prepared room deodorisers, whether or not perfumed or having disinfectant properties</t>
  </si>
  <si>
    <t>11.120.10 - Medicaments; 11.120.10 - Medicaments; 23.080 - Pumps; 23.080 - Pumps; 23.120 - Ventilators. Fans. Air-conditioners; 23.120 - Ventilators. Fans. Air-conditioners; 25.060 - Machine tool systems; 25.060 - Machine tool systems; 65.100 - Pesticides and other agrochemicals; 65.100 - Pesticides and other agrochemicals; 71.080.20 - Halogenated hydrocarbons; 71.080.20 - Halogenated hydrocarbons; 71.100.40 - Surface active agents; 71.100.40 - Surface active agents; 71.100.45 - Refrigerants and antifreezes; 71.100.45 - Refrigerants and antifreezes; 71.100.55 - Silicones; 71.100.55 - Silicones; 71.100.70 - Cosmetics. Toiletries; 71.100.70 - Cosmetics. Toiletries; 75.100 - Lubricants, industrial oils and related products; 75.100 - Lubricants, industrial oils and related products; 87.040 - Paints and varnishes; 87.040 - Paints and varnishes; 97.040.30 - Domestic refrigerating appliances; 97.040.30 - Domestic refrigerating appliances; 97.040.40 - Dishwashers; 97.040.40 - Dishwashers</t>
  </si>
  <si>
    <d:r xmlns:d="http://schemas.openxmlformats.org/spreadsheetml/2006/main">
      <d:rPr>
        <d:sz val="11"/>
        <d:rFont val="Calibri"/>
      </d:rPr>
      <d:t xml:space="preserve">https://members.wto.org/crnattachments/2024/TBT/UKR/final_measure/24_05825_00_x.pdf
https://members.wto.org/crnattachments/2024/TBT/UKR/final_measure/24_05825_01_x.pdf
https://members.wto.org/crnattachments/2024/TBT/UKR/final_measure/24_05825_02_x.pdf
https://members.wto.org/crnattachments/2024/TBT/UKR/final_measure/24_05825_03_x.pdf</d:t>
    </d:r>
  </si>
  <si>
    <t>Proposal of maximum residue limits (MRLs) for the following agricultural chemical:Pesticide: Pyribencarb.</t>
  </si>
  <si>
    <t>Meat and edible meat offal (HS codes: 02.01, 02.02, 02.03, 02.04, 02.05, 02.06, 02.08 and 02.09)Aquatic animals and crustaceans, molluscs and other aquatic invertebrates (HS codes: 03.02, 03.03, 03.04, 03.06, 03.07 and 03.08)Dairy produce and natural honey (HS codes: 04.01 and 04.09)Animal originated products (HS code: 05.04)Edible vegetables and certain roots and tubers (HS codes: 07.02, 07.03, 07.04, 07.05, 07.06, 07.07, 07.08, 07.09, 07.10 and 07.13)Edible fruit and nuts, peel of citrus fruit (HS codes: 08.05, 08.06, 08.07, 08.08, 08.09, 08.10, 08.11 and 08.14)Tea, mate and spices (HS codes: 09.02, 09.03, 09.04, 09.05, 09.06, 09.07, 09.08, 09.09 and 09.10)Cereals (HS codes: 10.01 and 10.06)Oil seeds and oleaginous fruits, miscellaneous grains, seeds and fruit (HS codes: 12.01, 12.07 and 12.12)Animal fats and oils (HS codes: 15.01, 15.02 and 15.06)</t>
  </si>
  <si>
    <t>0201 - Meat of bovine animals, fresh or chilled;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0302 - Fish, fresh or chilled (excl. fish fillets and other fish meat of heading 0304); 0806 - Grapes, fresh or dried; 0807 - Melons, incl. watermelons, and papaws "papayas", fresh; 0808 - Apples, pears and quinces, fresh; 0809 - Apricots, cherries, peaches incl. nectarines, plums and sloes,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0805 - Citrus fruit, fresh or dried; 0814 - Peel of citrus fruit or melons (including watermelons), fresh, frozen, dried or provisionally preserved in brine, in sulphur water or in other preservative solutions.; 0903 - Maté.; 0904 - Pepper of the genus Piper; dried or crushed or ground fruits of the genus Capsicum or of the genus Pimenta; 0905 - Vanilla; 0906 - Cinnamon and cinnamon-tree flowers; 0907 - Cloves, whole fruit, cloves and stems; 0908 - Nutmeg, mace and cardamoms; 0902 - Tea, whether or not flavoured; 0713 - Dried leguminous vegetables, shelled, whether or not skinned or split; 0710 - Vegetables, uncooked or cooked by steaming or boiling in water, frozen;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0303 - Frozen fish (excl. fish fillets and other fish meat of heading 0304); 0304 - Fish fillets and other fish meat, whether or not minced, fresh, chilled or frozen; 0306 - Crustaceans, whether in shell or not, live, fresh, chilled, frozen, dried, salted or in brine, even smoked, incl. crustaceans in shell cooked by steaming or by boiling in water; 0307 - Molluscs, fit for human consumption, even smoked, whether in shell or not, live, fresh, chilled, frozen, dried, salted or in brine; 0308 - Aquatic invertebrates other than crustaceans and molluscs, live, fresh, chilled, frozen, dried, salted or in brine, even smoked; 0401 - Milk and cream, not concentrated nor containing added sugar or other sweetening matter; 0409 - Natural honey.; 0504 - Guts, bladders and stomachs of animals (other than fish), whole and pieces thereof, fresh, chilled, frozen, salted, in brine, dried or smoked.; 0702 - Tomatoes, fresh or chilled.; 0703 - Onions, shallots, garlic, leeks and other alliaceous vegetables, fresh or chilled; 0704 - Cabbages, cauliflowers, kohlrabi, kale and similar edible brassicas, fresh or chilled; 0705 - Lettuce "Lactuca sativa" and chicory "Cichorium spp.", fresh or chilled; 0706 - Carrots, turnips, salad beetroot, salsify, celeriac, radishes and similar edible roots, fresh or chilled; 0707 - Cucumbers and gherkins, fresh or chilled.; 0708 - Leguminous vegetables, shelled or unshelled, fresh or chilled; 0909 - Seeds of anis, badian, fennel, coriander, cumin or caraway; juniper berries;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1006 - Rice; 1201 - Soya beans, whether or not broken; 1207 - Other oil seeds and oleaginous fruits, whether or not broken (excl. edible nuts, olives, soya beans, groundnuts, copra, linseed, rape or colza seeds and sunflower seeds);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1501 - Pig fat, incl. lard, and poultry fat, rendered or otherwise extracted (excl. lard stearin and lard oil); 1506 - Other animal fats and oils and their fractions, whether or not refined, but not chemically modified.</t>
  </si>
  <si>
    <d:r xmlns:d="http://schemas.openxmlformats.org/spreadsheetml/2006/main">
      <d:rPr>
        <d:sz val="11"/>
        <d:rFont val="Calibri"/>
      </d:rPr>
      <d:t xml:space="preserve">https://members.wto.org/crnattachments/2024/SPS/JPN/24_05845_00_e.pdf</d:t>
    </d:r>
  </si>
  <si>
    <t>Proposed partial amendments to the ”Regulation on Approval and Review of Advanced Biological Products”</t>
  </si>
  <si>
    <t xml:space="preserve">The proposed amendments to the ” Regulation on Approval and Review of Advanced Biological Products” are as follows:_x000D_
1) Providing criteria for exemption from submission of certificate of pharmaceutical product_x000D_
2) Acceptance of submission of non-clinical test data using alternative animal testing_x000D_
3) Providing grounds for accelerated review of new drugs</t>
  </si>
  <si>
    <t>Advanced Biological Products</t>
  </si>
  <si>
    <d:r xmlns:d="http://schemas.openxmlformats.org/spreadsheetml/2006/main">
      <d:rPr>
        <d:sz val="11"/>
        <d:rFont val="Calibri"/>
      </d:rPr>
      <d:t xml:space="preserve">https://members.wto.org/crnattachments/2024/TBT/KOR/24_05841_00_x.pdf</d:t>
    </d:r>
  </si>
  <si>
    <t>Emergency measures to mitigate the risk of introducing Bactrocera cucurbitae</t>
  </si>
  <si>
    <t>To prevent the introduction of Bactrocera cucurbitae into Japan, MAFF has taken emergency measures to prohibit the import of host plants of B. cucurbitae (specified in Item 3. of this notification) originated in Oman based on examination of the relevant documents listed in Item 10.</t>
  </si>
  <si>
    <t>Live plants and plant parts for planting (excluding seed and underground parts) and cut flowers, cut branches and fruits of plants for consumption and ornament of the following plants: CucurbitaceaeFresh fruits of the following plants:hondala (Adeniahondala), African custard-apple (AnnonasenegalensisFicuserecta, black nightshade (Solanum nigrum), common bean (kidney bean) (Phaseolus vulgaris), Ficus pumila, Mexican husk tomato (Physalisphiladelphica (syn. Physalisixocarpa)), cashew (AnacardiumoccidentaleCapsicumfrutescens, pigeon pea (CajanuscajanSolanum capsicoides (syn. Solanumaculeatissimum), passion fruit (Passiflora edulis), tamarillo (Cyphomandra betacea (syn. Pionandra betaceaSolanum betaceumSolanuminsigne)), carambola (Averrhoacarambola), cowpea (Vignaunguiculata (including Vignaunguiculata var. sesquipedalis)), sweet orange (Citrus sinensisStrychnosspinosa, scarlet eggplant (Solanum aethiopicum), African eggplant (SolanumanguiviSolanum sessiliflorumSolanumtrilobatumSolanummacrocarponSolanumlinnaeanumSolanummauritianumSolanum pseudocapsicumTetrastigma leucostaphylum (syn. Tetrastigma lanceolarium), sweet pepper (chili pepper, Shishito pepper, bell pepper) (Capsicum annuum), tomato (including Lycopersicon esculentum (syn. SolanumlycopersicumSolanumarcanumSolanum cheesmaniaeSolanumchilenseSolanumgalapagenseSolanumperuvianumSolanumpimpinellifolium), eggplant (Solanummelongena), jujube (Ziziphusjujuba (syn. ZiziphusvulgarisZiziphussativa)), papaya (Caricapapaya), guava (Psidiumguajava), hyacinth bean (Lablabpurpureus (syn. Dolichoslablab)), Singapore almond (TerminaliacatappaSolanum erianthum (syn. SolanumverbascifoliumHylocereus (excluding yellow pitahaya (Hylocereus megalanthus (syn. SelenicereusmegalanthusMangifera, Cucurbitaceae</t>
  </si>
  <si>
    <t>060390 - Dried, dyed, bleached, impregnated or otherwise prepared cut flowers and buds, of a kind suitable for bouquets or for ornamental purposes; 060319 - Fresh cut flowers and buds, of a kind suitable for bouquets or for ornamental purposes (excl. roses, carnations, orchids, chrysanthemums and lilies); 060220 - Edible fruit or nut trees, shrubs and bushes, whether or not grafted</t>
  </si>
  <si>
    <t>Proyecto de Resolución para regular la importación de raíces frescas de zanahoria (Daucus carota) para consumo originarias de República Dominicana (Draft Resolution governing the importation, for consumption, of fresh carrot roots (Daucus carota) from the Dominican Republic)</t>
  </si>
  <si>
    <t>The notified Draft Resolution establishes phytosanitary measures for the importation, for consumption, of fresh carrot roots (Daucus carota) from the Dominican Republic.</t>
  </si>
  <si>
    <t>Fresh carrots (HS code(s): 070610)</t>
  </si>
  <si>
    <t>070610 - Fresh or chilled carrots and turnips</t>
  </si>
  <si>
    <d:r xmlns:d="http://schemas.openxmlformats.org/spreadsheetml/2006/main">
      <d:rPr>
        <d:sz val="11"/>
        <d:rFont val="Calibri"/>
      </d:rPr>
      <d:t xml:space="preserve">https://members.wto.org/crnattachments/2024/SPS/CRI/24_05816_00_s.pdf</d:t>
    </d:r>
  </si>
  <si>
    <t>Proyecto de Resolución Directoral que establece los requisitos fitosanitarios de importación de semillas de cítricos (Citrus spp.) de origen y procedencia Italia (Draft Directorial Resolution establishing the phytosanitary import requirements for citrus (Citrus spp.) seeds originating in and coming from Italy.</t>
  </si>
  <si>
    <t>The notified draft phytosanitary requirements governing the importation of citrus (Citrus spp.) seeds originating in and coming from Italy are being submitted for public consultation following the completion of the pest-risk analysis.</t>
  </si>
  <si>
    <t>Citrus seeds (HS code: 120999)</t>
  </si>
  <si>
    <t>120999 - Seeds, fruits and spores, for sowing (excl. leguminous vegetables and sweetcorn, coffee, tea, maté and spices, cereals, oil seeds and oleaginous fruits, beets, forage plants, vegetable seeds, and seeds of herbaceous plants cultivated mainly for flowers or used primarily in perfumery, medicaments or for insecticidal, fungicidal or similar purposes)</t>
  </si>
  <si>
    <t>Plant health; Pest- or Disease- free Regions / Regionalization; Pests</t>
  </si>
  <si>
    <t>Italy</t>
  </si>
  <si>
    <d:r xmlns:d="http://schemas.openxmlformats.org/spreadsheetml/2006/main">
      <d:rPr>
        <d:sz val="11"/>
        <d:rFont val="Calibri"/>
      </d:rPr>
      <d:t xml:space="preserve">https://members.wto.org/crnattachments/2024/SPS/PER/24_05693_00_s.pdf
La norma está disponible en el siguiente enlace en versión español:
https://www.gob.pe/institucion/senasa/campa%C3%B1as/4831-consulta-publica-importaciones</d:t>
    </d:r>
  </si>
  <si>
    <t>Draft Commission Regulation amending Annex I to Regulation (EC) No 1334/2008 of the European Parliament and of the Council as regards the removal of the flavouring substance 4-Methyl-2-phenylpent-2-enal (FL No 05.100) from the Union list(Text with EEA relevance)</t>
  </si>
  <si>
    <t>Removing the flavouring substance 4-Methyl-2-phenylpent-2-enal (FL No 05.100) from the Union list, as the European Food Safety Authority (EFSA) indicated concerns for aneugenicity and the relevant FBOs didn’t submit the additional data requested by EFSA.</t>
  </si>
  <si>
    <t>Food flavourings</t>
  </si>
  <si>
    <d:r xmlns:d="http://schemas.openxmlformats.org/spreadsheetml/2006/main">
      <d:rPr>
        <d:sz val="11"/>
        <d:rFont val="Calibri"/>
      </d:rPr>
      <d:t xml:space="preserve">https://members.wto.org/crnattachments/2024/SPS/EEC/24_05819_01_e.pdf
https://members.wto.org/crnattachments/2024/SPS/EEC/24_05819_00_e.pdf</d:t>
    </d:r>
  </si>
  <si>
    <t>Draft regulations concerning the manufacture, placing on the market and import of fertilising products of organic origin and certain inorganic fertilising products (Fertilising Products Regulations)</t>
  </si>
  <si>
    <t>The Norwegian Food Safety Authority has proposed a new regulation concerning the production and marketing of fertilising products. It provides rules for safe fertiliser production and is adapted to changes that have taken place in the marked regarding increased interest in the use of waste and by-products in the production of fertilisers.The proposal introduces the following amendments:SPS-measuresThe requirements for hygienisation and stabilisation are clarified, and the indicator organism thermotolerant coliform bacteria is changed to E. coli.A limit value has been added for arsenic.The table of raw materials and raw material categories that can be used in fertiliser production has been updated (appendix 1) and a new system with applications for the use of other types of raw materials that are not listed in the table is being introduced.TBT-measuresThe registration obligation changes from a requirement for product registration to a requirement for business registration.Labelling requirements that earlier were included in a standard are now in the regulation.Both organic and inorganic biostimulants are covered by the new regulation, and they are more clearly distinguished from pesticides.There is a new paragraph concerning products traded under the agreement of mutual recognition in the EEA. </t>
  </si>
  <si>
    <t>Fertilising products of organic origin and certain inorganic fertilising products</t>
  </si>
  <si>
    <t>31 - FERTILISERS</t>
  </si>
  <si>
    <t>65.080 - Fertilizers</t>
  </si>
  <si>
    <t>Consumer information, labelling (TBT); Protection of animal or plant life or health (TBT)</t>
  </si>
  <si>
    <d:r xmlns:d="http://schemas.openxmlformats.org/spreadsheetml/2006/main">
      <d:rPr>
        <d:sz val="11"/>
        <d:rFont val="Calibri"/>
      </d:rPr>
      <d:t xml:space="preserve">https://members.wto.org/crnattachments/2024/TBT/NOR/24_05807_00_e.pdf</d:t>
    </d:r>
  </si>
  <si>
    <t>Proyecto de Resolución "Por la cual se actualizan los requisitos sanitarios para la certificación de los establecimientos de origen de bovinos y/o bufalinos, destinados a la producción de carne para exportación a Estados Unidos y Canadá, provenientes de la zona libre con vacunación (zona libre III Comercio/Caribe) y se establecen otras disposiciones" (Draft Resolution updating the sanitary requirements for obtaining certification as an establishment that supplies bovine and/or bubaline animals for the production of meat to be exported to the United States and Canada from the free zone in which vaccination is practised (free zone III (trade/Caribbean)) and establishing other requirements)</t>
  </si>
  <si>
    <t>The notified Draft Resolution updates the sanitary requirements for registering establishments that supply bovine and bubaline animals for the production of meat to be exported to the United States and Canada from the free zone in which vaccination is practised (free zone III (trade/Caribbean)).</t>
  </si>
  <si>
    <t>Bovine and bubaline animals for meat production</t>
  </si>
  <si>
    <t>0102 - Live bovine animals</t>
  </si>
  <si>
    <t>Food safety (SPS); Animal health (SPS)</t>
  </si>
  <si>
    <t>Human health; Animal health; Food safety; Animal diseases</t>
  </si>
  <si>
    <t>Canada; United States of America</t>
  </si>
  <si>
    <d:r xmlns:d="http://schemas.openxmlformats.org/spreadsheetml/2006/main">
      <d:rPr>
        <d:sz val="11"/>
        <d:rFont val="Calibri"/>
      </d:rPr>
      <d:t xml:space="preserve">https://members.wto.org/crnattachments/2024/SPS/COL/24_05818_00_s.pdf
https://www.sucop.gov.co/entidades/ica/Normativa?IDNorma=17810</d:t>
    </d:r>
  </si>
  <si>
    <t>Amendment to Resolution No. 1.742 of 6 March 2019 establishing phytosanitary import requirements for unrooted Vitis spp. cuttings from the United States of America.</t>
  </si>
  <si>
    <t>The notified measure amends Resolution No 1.742 as follows: • The pest "Epiphyas postvittana (Lep. Tortricidae)" is added to the list, in alphabetical order, in article 1.1.2 of the operative part. • The pest "Eulecanium tiliae (Hem. Coccidae)" is deleted from article 1.1.2 of the operative part; • Articles 1.1.6 and 1.1.7 are deleted from the operative part. Further details can be found in the document attached to this notification.</t>
  </si>
  <si>
    <t>Unrooted Vitis spp. cuttings</t>
  </si>
  <si>
    <t>0806 - Grapes, fresh or dried</t>
  </si>
  <si>
    <d:r xmlns:d="http://schemas.openxmlformats.org/spreadsheetml/2006/main">
      <d:rPr>
        <d:sz val="11"/>
        <d:rFont val="Calibri"/>
      </d:rPr>
      <d:t xml:space="preserve">https://members.wto.org/crnattachments/2024/SPS/CHL/24_05817_00_s.pdf
https://members.wto.org/crnattachments/2024/SPS/CHL/24_05817_01_s.pdf</d:t>
    </d:r>
  </si>
  <si>
    <t>The Norwegian Food Safety Authority has proposed a new regulation concerning the production and marketing of fertilizing products. It provides rules for safe fertilizer production and is adapted to changes that have taken place in the marked regarding increased interest in the use of waste and by-products in the production of fertilizers.The proposal introduces the following amendments:The requirements for hygienization and stabilization are clarified, and the indicator organism thermotolerant coliform bacteria is changed to E. coliA limit value has been added for arsenic;The table of raw materials and raw material categories that can be used in fertilizer production has been updated (appendix 1) and a new system with applications for the use of other types of raw materials that are not listed in the table is being introduced;The registration obligation changes from a requirement for product registration to a requirement for business registration;Labelling requirements that earlier were included in a standard are now in the regulation;Both organic and inorganic biostimulants are covered by the new regulation, and they are more clearly distinguished from pesticides;There is a new paragraph concerning products traded under the agreement of mutual recognition in the EEA.</t>
  </si>
  <si>
    <t>Fertilizing products of organic origin and certain inorganic fertilizing products</t>
  </si>
  <si>
    <t>Food safety (SPS); Animal health (SPS); Plant protection (SPS); Protect humans from animal/plant pest or disease (SPS)</t>
  </si>
  <si>
    <t>Human health; Animal health; Plant health; Food safety; Animal diseases; Plant diseases</t>
  </si>
  <si>
    <d:r xmlns:d="http://schemas.openxmlformats.org/spreadsheetml/2006/main">
      <d:rPr>
        <d:sz val="11"/>
        <d:rFont val="Calibri"/>
      </d:rPr>
      <d:t xml:space="preserve">https://members.wto.org/crnattachments/2024/SPS/NOR/24_05806_00_e.pdf
https://members.wto.org/crnattachments/2024/SPS/NOR/24_05806_01_e.pdf</d:t>
    </d:r>
  </si>
  <si>
    <t>Regulations on wood packaging material in international trade The Government of the Republic of Honduras hereby advises that the Regulations on wood packaging material in international trade, notified on 3 February 2006 in document G/SPS/N/HND/11, have been updated and that there will be a comment period of 60 days as from the date of notification. The notified Regulations seek to establish the phytosanitary measures for wood packaging material in use in international trade in goods, the technical specifications thereof, and the use of the globally recognized mark attesting to the application of such measures; define the requirements governing the use of this mark on wood packaging material used for the importation and exportation of goods; and establish guidelines to facilitate the inspection, at entry points into the country, of wood packaging material used for the importation of goods, with a view to reducing the risk of pest introduction. https://sde.gob.hn/wp-content/uploads/2024/08/ACUERDO-CD-SENASA-Reglamento-de-Madera-CPI.pdf</t>
  </si>
  <si>
    <t>All products exported to Honduras in wood packaging material</t>
  </si>
  <si>
    <t>4415 - Packing cases, boxes, crates, drums and similar packings, of wood; cable-drums of wood; pallets, box pallets and other load boards, of wood; pallet collars of wood (excl. containers specially designed and equipped for one or more modes of transport); 4415 - Packing cases, boxes, crates, drums and similar packings, of wood; cable-drums of wood; pallets, box pallets and other load boards, of wood; pallet collars of wood (excl. containers specially designed and equipped for one or more modes of transport)</t>
  </si>
  <si>
    <t>Modification of final date for comments; Plant health; Pests; Wood packaging; ISPM 15; Modification of content/scope of regulation; Wood packaging; Plant health; ISPM 15; Pests</t>
  </si>
  <si>
    <d:r xmlns:d="http://schemas.openxmlformats.org/spreadsheetml/2006/main">
      <d:rPr>
        <d:sz val="11"/>
        <d:rFont val="Calibri"/>
      </d:rPr>
      <d:t xml:space="preserve">https://sde.gob.hn/wp-content/uploads/2024/08/ACUERDO-CD-SENASA-Reglamento-de-Madera-CPI.pdf
</d:t>
    </d:r>
  </si>
  <si>
    <t>Fresh table grapes for human consumption from Japan</t>
  </si>
  <si>
    <t>Australia has published import conditions for fresh table grapes from Japan, for human consumption. The final report for table grapes from Japan was published in 2014, however trade did not occur.</t>
  </si>
  <si>
    <t>Fresh grapes (HS code(s): 08061000)</t>
  </si>
  <si>
    <t>080610 - Fresh grapes</t>
  </si>
  <si>
    <d:r xmlns:d="http://schemas.openxmlformats.org/spreadsheetml/2006/main">
      <d:rPr>
        <d:sz val="11"/>
        <d:rFont val="Calibri"/>
      </d:rPr>
      <d:t xml:space="preserve">https://bicon.agriculture.gov.au/BiconWeb4.0/ImportConditions/Questions/EvaluateCaseByPK?elementPk=2226069</d:t>
    </d:r>
  </si>
  <si>
    <t>Draft Plant Quarantine (Regulation of Import into India) Order, 2003 (Fourteenth Amendment) 2024</t>
  </si>
  <si>
    <t>The Draft Plant Quarantine (Regulation of Import into India) (Fourteenth Amendment) Order, 2024 seeks to further liberalize provisions governing import of Coffea spp. (Coffee beans for consumption or processing) from all countries.</t>
  </si>
  <si>
    <t>Coffea spp. (Coffee beans for consumption or processing)</t>
  </si>
  <si>
    <t>0901 - Coffee, whether or not roasted or decaffeinated; coffee husks and skins; coffee substitutes containing coffee in any proportion</t>
  </si>
  <si>
    <t>Protect humans from animal/plant pest or disease (SPS); Protect territory from other damage from pests (SPS)</t>
  </si>
  <si>
    <t>Human health; Territory protection; Plant health</t>
  </si>
  <si>
    <d:r xmlns:d="http://schemas.openxmlformats.org/spreadsheetml/2006/main">
      <d:rPr>
        <d:sz val="11"/>
        <d:rFont val="Calibri"/>
      </d:rPr>
      <d:t xml:space="preserve">https://members.wto.org/crnattachments/2024/SPS/IND/24_05774_00_e.pdf</d:t>
    </d:r>
  </si>
  <si>
    <t>Public Authority for Food and Nutrition High Committee Decision 7/2024</t>
  </si>
  <si>
    <t>Decision regarding meat of sheep and goats (fresh, chilled, frozen and processed) of all types and their dairy products from Romania due to outbreak of peste des petits ruminants (PPR).</t>
  </si>
  <si>
    <t>Meat of sheep or goats, fresh, chilled or frozen (HS code(s): 0204); Edible offal of bovine animals, swine, sheep, goats, horses, asses, mules or hinnies, fresh, chilled or frozen (HS code(s): 0206); Meat and edible offal, salted, in brine, dried or smoked; edible flours and meals of meat or meat offal (HS code(s): 0210); Milk and cream, not concentrated nor containing added sugar or other sweetening matter (HS code(s): 0401); Milk and cream, concentrated or containing added sugar or other sweetening matter (HS code(s): 0402);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(HS code(s): 0403); Whey, whether or not concentrated or containing added sugar or other sweetening matter; products consisting of natural milk constituents, whether or not containing added sugar or other sweetening matter, n.e.s. (HS code(s): 0404); Butter, incl. dehydrated butter and ghee, and other fats and oils derived from milk; dairy spreads (HS code(s): 0405); Cheese and curd (HS code(s): 0406); Animal, vegetable or microbial fats and oils and their cleavage products; Prepared edible fats; Animal or vegetable waxes (HS code(s): 15); Preparations of meat, of fish, of crustaceans, molluscs or other aquatic invertebrates, or of insects (HS code(s): 16); Meat, meat products and other animal produce (ICS code(s): 67.120)</t>
  </si>
  <si>
    <t>0204 - Meat of sheep or goats, fresh, chilled or frozen; 0206 - Edible offal of bovine animals, swine, sheep, goats, horses, asses, mules or hinnies, fresh, chilled or frozen; 0210 - Meat and edible offal, salted, in brine, dried or smoked; edible flours and meals of meat or meat offal; 15 - ANIMAL, VEGETABLE OR MICROBIAL FATS AND OILS AND THEIR CLEAVAGE PRODUCTS; PREPARED EDIBLE FATS; ANIMAL OR VEGETABLE WAXES; 16 - PREPARATIONS OF MEAT, OF FISH, OF CRUSTACEANS, MOLLUSCS OR OTHER AQUATIC INVERTEBRATES, OR OF INSECTS; 0401 - Milk and cream, not concentrated nor containing added sugar or other sweetening matter; 0402 - Milk and cream, concentrated or containing added sugar or other sweetening matter; 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0404 - Whey, whether or not concentrated or containing added sugar or other sweetening matter; products consisting of natural milk constituents, whether or not containing added sugar or other sweetening matter, n.e.s.; 0405 - Butter, incl. dehydrated butter and ghee, and other fats and oils derived from milk; dairy spreads; 0406 - Cheese and curd</t>
  </si>
  <si>
    <t>67.120 - Meat, meat products and other animal produce</t>
  </si>
  <si>
    <t>Food safety (SPS); Animal health (SPS); Protect humans from animal/plant pest or disease (SPS)</t>
  </si>
  <si>
    <t>Human health; Animal health; Food safety; Animal diseases; Pest- or Disease- free Regions / Regionalization</t>
  </si>
  <si>
    <t>Romania</t>
  </si>
  <si>
    <d:r xmlns:d="http://schemas.openxmlformats.org/spreadsheetml/2006/main">
      <d:rPr>
        <d:sz val="11"/>
        <d:rFont val="Calibri"/>
      </d:rPr>
      <d:t xml:space="preserve">https://members.wto.org/crnattachments/2024/SPS/KWT/24_05792_00_x.pdf</d:t>
    </d:r>
  </si>
  <si>
    <t>Public Authority for Food and Nutrition High Committee Decision 7/2024 (Brazil)</t>
  </si>
  <si>
    <t>Decision regarding poultry meat (fresh, chilled, frozen and processed) of all types from Rio Grande Do Sul in Brazil due to an outbreak of Newcastle disease.</t>
  </si>
  <si>
    <t>Meat and edible offal of the poultry of heading 01.05, fresh, chilled or frozen (HS code(s): 0207); Meat, meat products and other animal produce (ICS code(s): 67.120)</t>
  </si>
  <si>
    <t>0207 - Meat and edible offal of fowls of the species Gallus domesticus, ducks, geese, turkeys and guinea fowls, fresh, chilled or frozen; 0105 - Live poultry, "fowls of the species Gallus domesticus, ducks, geese, turkeys and guinea fowls"</t>
  </si>
  <si>
    <t>Animal diseases; Food safety; Animal health; Human health; Pest- or Disease- free Regions / Regionalization; Newcastle Disease</t>
  </si>
  <si>
    <t>Brazil (Rio Grande Do Sul)</t>
  </si>
  <si>
    <d:r xmlns:d="http://schemas.openxmlformats.org/spreadsheetml/2006/main">
      <d:rPr>
        <d:sz val="11"/>
        <d:rFont val="Calibri"/>
      </d:rPr>
      <d:t xml:space="preserve">https://members.wto.org/crnattachments/2024/SPS/KWT/24_05800_00_x.pdf</d:t>
    </d:r>
  </si>
  <si>
    <t>Costa Rican Technical Regulation (RTCR) No. 495:2018: Biofuels. Anhydrous fuel ethanol and its mixtures with 91 RON and 95 RON gasoline. Specifications.</t>
  </si>
  <si>
    <t>On 11 December 2018, the Government of the Republic of Costa Rica notified, in document G/TBT/N/CRI/183, draft Costa Rican Technical Regulation (RTCR) No. 495:2018: Biofuels. Anhydrous fuel ethanol and its mixtures with 91 RON and 95 RON gasoline. Specifications. The purpose of this Addendum is to inform WTO Members that this regulation has been updated and amended, and is now entitled: "Costa Rican Technical Regulation (RTCR) No. 513:2023: Biofuels. Anhydrous fuel ethanol and its mixtures with premium (95 RON) and regular (91 RON) gasoline. Specifications." In the light of foregoing, there will be a period of 60 days for the submission of comments and observations as from the date of notification. __________</t>
  </si>
  <si>
    <t>International Classification for Standards (ICS) code 75.160.20</t>
  </si>
  <si>
    <t>75.160.20 - Liquid fuels; 75.160.20 - Liquid fuels</t>
  </si>
  <si>
    <d:r xmlns:d="http://schemas.openxmlformats.org/spreadsheetml/2006/main">
      <d:rPr>
        <d:sz val="11"/>
        <d:rFont val="Calibri"/>
      </d:rPr>
      <d:t xml:space="preserve">https://members.wto.org/crnattachments/2024/TBT/CRI/modification/24_05801_00_s.pdf
El documento puede ser accesado en la siguiente dirección electrónica: 
https://www.meic.go.cr/
Centro de Obstáculos Técnicos al Comercio
Sitio en Internet: http://www.meic.go.cr/
Punto de Contacto OMC: crotc@meic.go.cr  
Teléfono: (506) 2549-1479
San José
 Costa Rica
</d:t>
    </d:r>
  </si>
  <si>
    <t>Proposed amendments to the “Regulation on Safety Standards etc. of Cosmetics”</t>
  </si>
  <si>
    <t xml:space="preserve">The proposed amendment to the “Regulation on Safety Standards etc. of Cosmetics” is as follows:_x000D_
1) Establishing restrictions on some cosmetic substances_x000D_
   - (hair dye substance) 2,6-Dihydroxyethylaminotoluene(no restrictions → 1.0%, Do Not to be used with nitrosating agents, the total nitrosamine content must not exceed 50ppb)_x000D_
   - Nonoxynol-9: no restrictions → 17.2%_x000D_
   - Butylphenyl Methylpropional: no restrictions → 0.14%_x000D_
   - Cyclotetrasiloxane: no restrictions → 8.7%_x000D_
   - Cyclopentasiloxane: no restrictions → 19.7%_x000D_
2) Changes to the restrictions on maximum concentration of UV-filters in cosmetics_x000D_
   - Addition: Tris-Biphenyl triazine (10%. Not to be used in aerosols, etc)._x000D_
   - Deletion: Compounds of lawsone and dihydroxyacetone_x000D_
   - Benzophenone-3(Oxybenzone): 5% → 2.4% (5% in face products, hand products, and lip products)</t>
  </si>
  <si>
    <t>Cosmetics</t>
  </si>
  <si>
    <t>71.100.70 - Cosmetics. Toiletries</t>
  </si>
  <si>
    <d:r xmlns:d="http://schemas.openxmlformats.org/spreadsheetml/2006/main">
      <d:rPr>
        <d:sz val="11"/>
        <d:rFont val="Calibri"/>
      </d:rPr>
      <d:t xml:space="preserve">https://members.wto.org/crnattachments/2024/TBT/KOR/24_05802_00_x.pdf</d:t>
    </d:r>
  </si>
  <si>
    <t>Draft Plant Quarantine (Regulation of Import into India) Order, 2003 (Thirteenth Amendment) 2024</t>
  </si>
  <si>
    <t>The Draft Plant Quarantine (Regulation of Import into India) (Thirteenth Amendment) Order, 2024 seeks to further liberalize provisions governing import of Citrullus lanatus (Watermelon)from Uzbekistan</t>
  </si>
  <si>
    <t>Citrullus lanatus (Watermelon)</t>
  </si>
  <si>
    <t>080711 - Fresh watermelons</t>
  </si>
  <si>
    <t>Plant protection (SPS); Protect humans from animal/plant pest or disease (SPS); Protect territory from other damage from pests (SPS)</t>
  </si>
  <si>
    <t>Human health; Plant health; Territory protection</t>
  </si>
  <si>
    <t>Uzbekistan</t>
  </si>
  <si>
    <d:r xmlns:d="http://schemas.openxmlformats.org/spreadsheetml/2006/main">
      <d:rPr>
        <d:sz val="11"/>
        <d:rFont val="Calibri"/>
      </d:rPr>
      <d:t xml:space="preserve">https://members.wto.org/crnattachments/2024/SPS/IND/24_05786_00_e.pdf</d:t>
    </d:r>
  </si>
  <si>
    <t>Ministerial Decisions 1008 and 1007 of 2024 (United States of America)</t>
  </si>
  <si>
    <t>Decision to ban and ban lift poultry meat (fresh, chilled, frozen and processed) of all types from certain counties in the United States of America due to changes in outbreak of highly pathogenic avian influenza.</t>
  </si>
  <si>
    <t>Animal diseases; Food safety; Animal health; Human health; Pest- or Disease- free Regions / Regionalization; Avian Influenza</t>
  </si>
  <si>
    <t>United States of America (Iowa: Sac; Minnesota: Swift, Pipestone, Morrison, Otter Tail, Kandiyohi, Renville; Colorado: Weld; California: Merced; Minnesota: Meeker, Dodge; Michigan: Ionia, Newaygo; Kansas: Rice; Massachusetts: Essex; Texas: Parmer)</t>
  </si>
  <si>
    <d:r xmlns:d="http://schemas.openxmlformats.org/spreadsheetml/2006/main">
      <d:rPr>
        <d:sz val="11"/>
        <d:rFont val="Calibri"/>
      </d:rPr>
      <d:t xml:space="preserve">https://members.wto.org/crnattachments/2024/SPS/KWT/24_05791_00_x.pdf
https://members.wto.org/crnattachments/2024/SPS/KWT/24_05791_01_x.pdf</d:t>
    </d:r>
  </si>
  <si>
    <t>Draft Commission Delegated Regulation amending Regulation (EU) 2018/848 of the European Parliament and of the Council as regards oenological practices </t>
  </si>
  <si>
    <t>This draft delegated act will provide, in particular, that the de-alcoholisation process ‘partial vacuum evaporation’ and ‘distillation’, whether used on its own or in combination, are authorised to produce organic de-alcoholised wine. In addition this act will update the legal references to the acts on conventional wine</t>
  </si>
  <si>
    <t>organic de-alcoholised wine (not exceeding 0.5 % vol.) (ex 2202 99 19)</t>
  </si>
  <si>
    <t>67.160.01 - Beverages in general</t>
  </si>
  <si>
    <d:r xmlns:d="http://schemas.openxmlformats.org/spreadsheetml/2006/main">
      <d:rPr>
        <d:sz val="11"/>
        <d:rFont val="Calibri"/>
      </d:rPr>
      <d:t xml:space="preserve">https://members.wto.org/crnattachments/2024/TBT/EEC/24_05803_00_e.pdf
https://members.wto.org/crnattachments/2024/TBT/EEC/24_05803_01_e.pdf</d:t>
    </d:r>
  </si>
  <si>
    <t>Indonesia</t>
  </si>
  <si>
    <t>Draft Decree of Minister of Industry on Mandatory Implementation of Indonesian National Standard for Equipment for Crop Protection - Knapsack Sprayers - Requirements and Test Methods </t>
  </si>
  <si>
    <t>Addendum of Mandatory Implementation of Indonesia National Standard under G/TBT/N/IDN/99/Add.1 dated 4 August 2021 for Regulation of Minister of Industry No.  25 Year 2020 concerning Mandatory Implementation of SNI for Equipment for Crop Protection – Semi Automatic Knapsack Sprayers and Equipment for Crop Protection – Electrical Knapsack Sprayers, has been revoked and replaced by Regulation of Minister of Industry No. 29 Year 2024 concerning Mandatory Implementation of Indonesia National Standard for Equipment for Crop Protection – Knapsack Sprayers.The Regulation covers the issuance of SNI certificate using type 5 certification scheme, production process assessment and implementation of ISO 9001:2015, including product quality testing based on: SNI 4513:2022 for Semi Automatic Knapsack Sprayers (HS Codes: Ex. 8424.41.10 and Ex. 8424.41.20). SNI 8485:2023 for Electrical Knapsack Sprayers (HS Codes: Ex. 8424.41.90). Domestic or imported Knapsack Sprayers product that has been produced before this Ministerial Regulation comes into effect can still be distributed to a maximum of 12 (twelve) months from the date of enforcement.</t>
  </si>
  <si>
    <t xml:space="preserve">SNI 4513:2012 Equipment for Crop Protection - Knapsack Sprayers - Requirements and Test Methods (HS Ex. 8424.81.30.00, HS Ex. 8424.81.40.00) ;
                                             ;
</t>
  </si>
  <si>
    <t>842481 - Agricultural or horticultural mechanical appliances, whether or not hand-operated, for projecting, dispersing or spraying liquids or powders; 842481 - Agricultural or horticultural mechanical appliances, whether or not hand-operated, for projecting, dispersing or spraying liquids or powders; 842481 - Agricultural or horticultural mechanical appliances, whether or not hand-operated, for projecting, dispersing or spraying liquids or powders</t>
  </si>
  <si>
    <t>65.060 - Agricultural machines, implements and equipment; 65.060 - Agricultural machines, implements and equipment; 65.100 - Pesticides and other agrochemicals; 65.100 - Pesticides and other agrochemicals</t>
  </si>
  <si>
    <t>Prevention of deceptive practices and consumer protection (TBT); Protection of human health or safety (TBT); Quality requirements (TBT)</t>
  </si>
  <si>
    <d:r xmlns:d="http://schemas.openxmlformats.org/spreadsheetml/2006/main">
      <d:rPr>
        <d:sz val="11"/>
        <d:rFont val="Calibri"/>
      </d:rPr>
      <d:t xml:space="preserve">https://members.wto.org/crnattachments/2024/TBT/IDN/final_measure/24_05764_00_x.pdf</d:t>
    </d:r>
  </si>
  <si>
    <t>Draft decree of Ministry of Industry on Mandatory Indonesia National Standard for Cement</t>
  </si>
  <si>
    <t>Addendum of Mandatory Implementation of Indonesia National Standard under G/TBT/N/IDN/15/Add.3 dated 14 December 2018 for Regulation of Minister of Industry No. 82/M-IND/PER/9/2015 concerning Mandatory Implementation of SNI for Cement, has been revoked and replaced by Regulation of Minister of Industry No. 26 Year 2024 concerning Mandatory Implementation of Indonesia National Standard for Cement.The Regulation covers the issuance of SNI certificate using type 5 certification scheme, production process assessment and implementation of ISO 9001:2015, including product quality testing based on: SNI 129:2018 for White Portland Cement (HS Codes: 2523.21.00);SNI 0302:2014 for Portland Pozzolan Cement (HS Codes: Ex. 2523.29.90);SNI 2049-1:2020 for Portland Cement (HS Codes: Ex. 2523.29.10 and Ex. 2523.29.90);SNI 3758:2024 for Masonry Cement (HS Codes: Ex. 2523.29.90 and Ex. 2523.90.00);SNI 7064:2022 for Composite Portland Cement (HS Codes:  Ex. 2523.29.90);SNI 8363:2023 for Slag Portland Cement (HS Codes: Ex. 2523.29.90 and Ex. 2523.90.00); andSNI 8912:2020 for Hydraulic Cement (HS Codes: Ex. 2523.29.90).Domestic or imported cement product that has been produced before this Ministerial Regulation comes into effect can still be distributed to a maximum of 18 (eighteen) months from the date of enforcement.</t>
  </si>
  <si>
    <t>HS  2523.21.00.00: White Cement; HS  2523.29.90.00: Portland Pozzolan Cement  (HS 2523.30.00.00); HS  2523.29.10.00: Portland Cement  (HS 2523.21); HS  2523.29.29.00: Portland Mixed Cement  (HS 2523.29); HS  2523.90.00.00: Masonry Cement   HS  2523.90.00.00; Portland Composite Cement  (HS 2523.29)</t>
  </si>
  <si>
    <t>252390 - Cement, whether or not coloured (excl. aluminous cement and portland cement); 252329 - Portland cement (excl. white, whether or not artificially coloured); 252321 - White portland cement, whether or not artificially coloured; 252321 - White portland cement, whether or not artificially coloured; 252390 - Cement, whether or not coloured (excl. aluminous cement and portland cement); 252329 - Portland cement (excl. white, whether or not artificially coloured)</t>
  </si>
  <si>
    <t>91.100.10 - Cement. Gypsum. Lime. Mortar</t>
  </si>
  <si>
    <d:r xmlns:d="http://schemas.openxmlformats.org/spreadsheetml/2006/main">
      <d:rPr>
        <d:sz val="11"/>
        <d:rFont val="Calibri"/>
      </d:rPr>
      <d:t xml:space="preserve">https://members.wto.org/crnattachments/2024/TBT/IDN/final_measure/24_05759_00_x.pdf</d:t>
    </d:r>
  </si>
  <si>
    <t>Tanzania</t>
  </si>
  <si>
    <t>DARS 1729:2024, Poly vinyl chloride (PVC) bottles for edible oils - Specification, First Edition.</t>
  </si>
  <si>
    <t>This standard specifies the requirements and the methods of sampling and test of polyvinyl chloride (PVC) bottles for packing of edible oils.</t>
  </si>
  <si>
    <t>Plasticised poly"vinyl chloride", in primary forms, mixed with other substances (HS code(s): 390422); Rubber and plastics products in general (ICS code(s): 83.140.01),Poly vinyl chloride(PVC) bottles for edible oils</t>
  </si>
  <si>
    <t>390422 - Plasticised poly"vinyl chloride", in primary forms, mixed with other substances</t>
  </si>
  <si>
    <t>83.140.01 - Rubber and plastics products in general</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</si>
  <si>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</si>
  <si>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d:r xmlns:d="http://schemas.openxmlformats.org/spreadsheetml/2006/main">
      <d:rPr>
        <d:sz val="11"/>
        <d:rFont val="Calibri"/>
      </d:rPr>
      <d:t xml:space="preserve">https://members.wto.org/crnattachments/2024/TBT/TZA/24_05777_00_e.pdf</d:t>
    </d:r>
  </si>
  <si>
    <t>Amendment of Act No. 954, 8 February 2018</t>
  </si>
  <si>
    <t>ANATEL issued Act No. 10974, 25 July 2024 that includes item 3.3.1 to Annex I of Act No. 954, of 8 February 2018, which approves technical requirements for conformity assessment and approval of radiocommunication signal blockers.</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</si>
  <si>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</si>
  <si>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 85 - ELECTRICAL MACHINERY AND EQUIPMENT AND PARTS THEREOF; SOUND RECORDERS AND REPRODUCERS, TELEVISION IMAGE AND SOUND RECORDERS AND REPRODUCERS, AND PARTS AND ACCESSORIES OF SUCH ARTICLES</t>
  </si>
  <si>
    <t>33 - TELECOMMUNICATIONS. AUDIO AND VIDEO ENGINEERING; 33 - Telecommunications. Audio and video engineering</t>
  </si>
  <si>
    <t>SDA/MAPA Ordinance No. 1,170, 26 August 2024</t>
  </si>
  <si>
    <t>Ministry of Agriculture and Livestock approves the Technical Regulation on the identity and quality of dairy compounds intended for human consumption.</t>
  </si>
  <si>
    <t>Milk and cream, concentrated or containing added sugar or other sweetening matter (HS code(s): 0402); Milk and milk products (ICS code(s): 67.100)</t>
  </si>
  <si>
    <t>0402 - Milk and cream, concentrated or containing added sugar or other sweetening matter; 0402 - Milk and cream, concentrated or containing added sugar or other sweetening matter</t>
  </si>
  <si>
    <t>Consumer information, labelling (TBT); Quality requirements (TBT); Harmonization (TBT)</t>
  </si>
  <si>
    <d:r xmlns:d="http://schemas.openxmlformats.org/spreadsheetml/2006/main">
      <d:rPr>
        <d:sz val="11"/>
        <d:rFont val="Calibri"/>
      </d:rPr>
      <d:t xml:space="preserve">https://www.in.gov.br/en/web/dou/-/portaria-sda/mapa-n-1.170-de-26-de-agosto-de-2024-580835876</d:t>
    </d:r>
  </si>
  <si>
    <t>Draft Decree of Minister of Industry on Mandatory Implementation of Indonesia National Standard for Sodium Tripolyphosphate </t>
  </si>
  <si>
    <t>Addendum of Mandatory Implementation of Indonesia National Standard under G/TBT/N/IDN/73/Add.1 dated 17 February 2014 for Regulation of Minister of Industry No.  64/M-IND/PER/12/2013 concerning Mandatory Implementation of SNI for Sodium Tripolyphosphate, has been revoked and replaced by Regulation of Minister of Industry No.25 Year 2024 concerning Mandatory Implementation of Indonesia National Standard for Sodium Tripolyphosphate.The Regulation covers the issuance of SNI certificate using type 5 certification scheme, production process assessment and implementation of ISO 9001:2015, including product quality testing based on SNI 2109:2020 for Sodium Tripolyphosphate (HS Codes:  2835.31.90). Technical Quality for domestic or imported Sodium Tripolyphosphate product that has been produced before this Ministerial Regulation comes into effect can still be distributed up to a maximum of 12 (twelve) months from the date of enforcement.</t>
  </si>
  <si>
    <t>HS. Ex 2835.31.90.00</t>
  </si>
  <si>
    <t>283531 - Sodium triphosphate "sodium tripolyphosphate", whether or not chemically defined; 283531 - Sodium triphosphate "sodium tripolyphosphate", whether or not chemically defined</t>
  </si>
  <si>
    <t>71.060 - Inorganic chemicals; 71.060 - Inorganic chemicals</t>
  </si>
  <si>
    <d:r xmlns:d="http://schemas.openxmlformats.org/spreadsheetml/2006/main">
      <d:rPr>
        <d:sz val="11"/>
        <d:rFont val="Calibri"/>
      </d:rPr>
      <d:t xml:space="preserve">https://members.wto.org/crnattachments/2024/TBT/IDN/final_measure/24_05761_00_x.pdf</d:t>
    </d:r>
  </si>
  <si>
    <t>Decree of Minister of Industry No. 92/M-IND/PER/11/2007 on Mandatory Implementation of Indonesia National Standard for 5 Industry Products </t>
  </si>
  <si>
    <t>Addendum of Mandatory Implementation of Indonesia National Standard for Regulation of Minister of Industry No.15/M-IND/PER/1/2015 concerning mandatory Implementation of SNI for Liquified Petroleum Gas Stove Hoses, has been revoked and replaced by Regulation of Minister of Industry No. 27 Year 2024 concerning Mandatory Implementation of Indonesian National Standard for Elastomeric thermoplastic hose for Liquified Petroleum Gas stoveThe Regulation covers the issuance of SNI certificate using type 5 certification scheme, production process assessment and implementation of ISO 9001:2015, including product quality testing based on SNI 8022:2022, Elastomeric thermoplastic hose with and without fittings, with HS Codes:Ex. 3917.39.11;Ex. 3917.39.12;Ex. 3917.39.19;Ex. 3917.39.91;Ex. 3917.39.92;Ex. 3917.39.93; Ex. 3917.39.94; andEx. 3917.39.99;The hose fittings consist of:a. hose sheath;b. hose clamp;c. hose cover; and/ord. hose sheath cover. Domestic or imported Elastomeric thermoplastic hose for Liquified Petroleum Gas stove product that has been produced before this Ministerial Regulation comes into effect can still be distributed to a maximum of 12 (twelve) months from the date of enforcement.</t>
  </si>
  <si>
    <t xml:space="preserve">Tank Steel for LPG  (HS:7311.00.91.00; 7311.00.99.00);  Valve of Tank Steel for LPG (HS.8481.80.21.00); LPG Stove of One Tank with Mechanic Burning (HS: 7321.11.00.00;  HS:  7321.81.00.00 and HS:  7321.90.90.00) Low Pressure Regulator for LPG Tank Steel (</t>
  </si>
  <si>
    <t>400912 - Tubes, pipes and hoses, of vulcanised rubber (excl. hard rubber), not reinforced or otherwise combined with other materials, with fittings; 400911 - Tubes, pipes and hoses, of vulcanised rubber (excl. hard rubber), not reinforced or otherwise combined with other materials, without fittings; 7311 - Containers for compressed or liquefied gas, of iron or steel.; 732111 - Appliances for baking, frying, grilling and cooking and plate warmers, for domestic use, of iron or steel, for gas fuel or for both gas and other fuels (excl. large cooking appliances); 732181 - 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 732190 - Parts of domestic appliances non-electrically heated of heading 7321, n.e.s.; 848110 - Pressure-reducing valves; 848180 - Appliances for pipes, boiler shells, tanks, vats or the like (excl. pressure-reducing valves, valves for the control of pneumatic power transmission, check "non-return" valves and safety or relief valves); 732190 - Parts of domestic appliances non-electrically heated of heading 7321, n.e.s.; 400911 - Tubes, pipes and hoses, of vulcanised rubber (excl. hard rubber), not reinforced or otherwise combined with other materials, without fittings; 732111 - Appliances for baking, frying, grilling and cooking and plate warmers, for domestic use, of iron or steel, for gas fuel or for both gas and other fuels (excl. large cooking appliances); 7311 - Containers of iron or steel, for compressed or liquefied gas (excl. containers specifically constructed or equipped for one or more types of transport); 848110 - Pressure-reducing valves; 848180 - Appliances for pipes, boiler shells, tanks, vats or the like (excl. pressure-reducing valves, valves for the control of pneumatic power transmission, check "nonreturn" valves and safety or relief valves); 400912 - Tubes, pipes and hoses, of vulcanised rubber (excl. hard rubber), not reinforced or otherwise combined with other materials, with fittings; 732181 - 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</si>
  <si>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23.020 - Fluid storage devices; 23.020.30 - Gas pressure vessels, gas cylinders; 23.020.30 - Gas pressure vessels, gas cylinders; 23.040.70 - Hoses and hose assemblies; 23.040.70 - Hoses and hose assemblies; 23.060 - Valves; 23.060.40 - Pressure regulators; 23.060.40 - Pressure regulators; 83.140.40 - Hoses; 83.140.40 - Hoses</t>
  </si>
  <si>
    <d:r xmlns:d="http://schemas.openxmlformats.org/spreadsheetml/2006/main">
      <d:rPr>
        <d:sz val="11"/>
        <d:rFont val="Calibri"/>
      </d:rPr>
      <d:t xml:space="preserve">https://members.wto.org/crnattachments/2024/TBT/IDN/final_measure/24_05762_00_x.pdf</d:t>
    </d:r>
  </si>
  <si>
    <t>Canada's Seasonal Freedom from Culicoides</t>
  </si>
  <si>
    <t>Update to the period in which the Culicoides vector is not active in Canada. Where specific dates are mentioned in export certification, these will be amended to reflect the new end date of 30 April and the start of the seasonally free period is 1 November of the respective year.</t>
  </si>
  <si>
    <t>Live ruminants (HS codes: 0102; 0104; 0106)</t>
  </si>
  <si>
    <t>0102 - Live bovine animals; 0104 - Live sheep and goats; 0106 - Live animals (excl. horses, asses, mules, hinnies, bovine animals, swine, sheep, goats, poultry, fish, crustaceans, molluscs and other aquatic invertebrates, and microorganic cultures etc.)</t>
  </si>
  <si>
    <t>Animal health; Animal diseases</t>
  </si>
  <si>
    <d:r xmlns:d="http://schemas.openxmlformats.org/spreadsheetml/2006/main">
      <d:rPr>
        <d:sz val="11"/>
        <d:rFont val="Calibri"/>
      </d:rPr>
      <d:t xml:space="preserve">https://members.wto.org/crnattachments/2024/SPS/CAN/24_05739_00_e.pdf</d:t>
    </d:r>
  </si>
  <si>
    <t>DARS 1721:2024 Recycled Polyethylene Terephthalate (rPET) Bottles for Food Contact-Specification, First Edition.</t>
  </si>
  <si>
    <t>This draft African Standard specifies requirements, sampling and test methods for Recycled PET bottles, and recyclates (flakes and pellets) used for food contact applications.It does not apply to industrial rejected PET bottles and does not apply to production of resins for non-food grade consumer applications.</t>
  </si>
  <si>
    <t>Waste, parings and scrap of plastics (excl. that of polymers of ethylene, styrene and vinyl chloride) (HS code(s): 391590); Rubber and plastics products in general (ICS code(s): 83.140.01)Recycled Polyethylene Terephthalate (rPET) Bottles, recyclates (flakes and pellets) used for food contact applications</t>
  </si>
  <si>
    <t>391590 - Waste, parings and scrap of plastics (excl. that of polymers of ethylene, styrene and vinyl chloride)</t>
  </si>
  <si>
    <d:r xmlns:d="http://schemas.openxmlformats.org/spreadsheetml/2006/main">
      <d:rPr>
        <d:sz val="11"/>
        <d:rFont val="Calibri"/>
      </d:rPr>
      <d:t xml:space="preserve">https://members.wto.org/crnattachments/2024/TBT/TZA/24_05778_00_e.pdf</d:t>
    </d:r>
  </si>
  <si>
    <t xml:space="preserve">Oil and Gas and Sulfur Operations in the Outer Continental 
Shelf--High Pressure High Temperature Updates</t>
  </si>
  <si>
    <t xml:space="preserve">The Department of the Interior (DOI or Department), through the Bureau of Safety and Environmental Enforcement (BSEE), is adding requirements for new or unusual technology, including equipment used in high pressure high temperature (HPHT) environments; revising and reorganizing the information submission requirements for a project's Conceptual Plans and Deepwater Operations Plan (DWOP); and requiring independent third parties to review certain information prior to submission to BSEE. This final rule will improve operational and environmental safety and human health, while providing consistency and clarity to industry regarding the equipment and operational requirements as well as the submissions that are necessary so that BSEE can review and consider for approval proposed projects that would use new or unusual technology.This final rule is effective on 29 October 2024. The incorporation by reference of certain material listed in this rule is approved by the Director of the Federal Register as of 29 October 2024.89 Federal Register (FR) 71076, Title 30 Code of Federal Regulations (CFR) Part 250_x000D_
https://www.govinfo.gov/content/pkg/FR-2024-08-30/html/2024-18598.htm_x000D_
https://www.govinfo.gov/content/pkg/FR-2024-08-30/pdf/2024-18598.pdf_x000D_
This final rule and the proposed rule notified as G/TBT/N/USA/1862 are identified by Docket Number BSEE-2021-0003. The Docket Folder is available from Regulations.gov at https://www.regulations.gov/docket/BSEE-2021-0003/document and provides access to primary and supporting documents as well as comments received. Documents are also accessible from Regulations.gov by searching the Docket Number. _x000D_
</t>
  </si>
  <si>
    <t>Equipment used in high pressure high temperature (HPHT) environments; Quality (ICS code(s): 03.120); Environmental protection (ICS code(s): 13.020); Protection against excessive pressure (ICS code(s): 13.240)</t>
  </si>
  <si>
    <t>03.120 - Quality; 03.120 - Quality; 13.020 - Environmental protection; 13.020 - Environmental protection; 13.240 - Protection against excessive pressure; 13.240 - Protection against excessive pressure</t>
  </si>
  <si>
    <t>Protection of human health or safety (TBT); Protection of the environment (TBT); Quality requirements (TBT)</t>
  </si>
  <si>
    <d:r xmlns:d="http://schemas.openxmlformats.org/spreadsheetml/2006/main">
      <d:rPr>
        <d:sz val="11"/>
        <d:rFont val="Calibri"/>
      </d:rPr>
      <d:t xml:space="preserve">https://members.wto.org/crnattachments/2024/TBT/USA/final_measure/24_05779_00_e.pdf</d:t>
    </d:r>
  </si>
  <si>
    <t>Draft decree of Ministry of Industry on Mandatory Indonesia National Standard for Injection Moulding System Leather Safety Shoes Made From Polyurethane Soles and Thermoplastics, Quality and test methods of Leather Safety Shoes by Goodyear Welt Systems; and Safety Leather Shoes with Rubber Sole Vulcanized Moulding System</t>
  </si>
  <si>
    <t>Addendum of Mandatory Implementation of Indonesia National Standard under G/TBT/N/IDN/20/Add.1 dated 22 January 2010 for Regulation of Minister of Industry No.  164/M-IND/PER/12/2009 concerning Mandatory Implementation of SNI for Safety Shoes, has been revoked and replaced by Regulation of Minister of Industry No. 28 Year 2024 concerning Mandatory Implementation of Indonesia National Standard for Personal Protective Equipment - Safety Shoes.The Regulation covers the issuance of SNI certificate using type 5 certification scheme, production process assessment and implementation of ISO 9001:2015, including product quality testing based on SNI 8877:2023 Personal Protective Equipment - Safety Shoes with HS Codes: a. 6401.10.00;b. 6401.92.10;c. Ex. 6401.99.10; d. Ex. 6401.99.90; e. 6402.91.91;f. 6402.91.92;g. 6402.99.10;h. 6402.99.20;i. 6403.40.00;j. 6403.91.30;k. 6403.99.30; and l. 6404.19.10Domestic or imported safety shoes product that has been produced before this Ministerial Regulation comes into effect can still be distributed to a maximum of 12 (twelve) months from the date of enforcement.</t>
  </si>
  <si>
    <t>Safety Shoes consist of three standards as follows: SNI: 12-7079-2005, HS: 6403.40.00.00; SNI: 12-7037-2004, HS: 6403.40.00.00;  and SNI: 12-0111-1987, HS: 6403.40.00.00</t>
  </si>
  <si>
    <t>640340 - Footwear, incorporating a protective metal toecap, with outer soles of rubber, plastics, leather or composition leather and uppers of leather (excl. sports footwear and orthopaedic footwear); 640340 - Footwear, incorporating a protective metal toecap, with outer soles of rubber, plastics, leather or composition leather and uppers of leather (excl. sports footwear and orthopaedic footwear)</t>
  </si>
  <si>
    <t>61.060 - Footwear; 61.060 - Footwear</t>
  </si>
  <si>
    <d:r xmlns:d="http://schemas.openxmlformats.org/spreadsheetml/2006/main">
      <d:rPr>
        <d:sz val="11"/>
        <d:rFont val="Calibri"/>
      </d:rPr>
      <d:t xml:space="preserve">https://members.wto.org/crnattachments/2024/TBT/IDN/final_measure/24_05763_00_x.pdf</d:t>
    </d:r>
  </si>
  <si>
    <t>Draft Decree of Minister of Industry on Mandatory Implementation of Indonesia National Standard for High pressure regulator for LPG steel tube on High pressure regulator for LPG tube </t>
  </si>
  <si>
    <t>Addendum of Mandatory Implementation of Indonesia National Standard under G/TBT/N/IDN/79/Add.2 dated 7 February 2019 for Regulation of Minister of Industry No. 12 year 2018 concerning Mandatory Implementation of SNI for Low Pressure Regulator and High Pressure Regulator for Liquefied Petroleum Gas Steel Tube, has been revoked and replaced by Regulation of Minister of  Industry No.30 Year 2024 concerning  Mandatory Implementation  of  Indonesia National  Standard  for Regulator of Gas Tube for Liquified Petroleum Gas.The Regulation covers the issuance of SNI certificate using type 5 certification scheme, production process assessment and implementation of ISO 9001:2015, including product quality testing based on SNI 9095:2024 for Regulator of Gas Tube for Liquified Petroleum Gas (HS Code ex. 8481.10.99, ex. 8481.10.19, ex. 8481.10.21 and ex. 8481.10.91). Domestic or imported Regulator of Gas Tube product that has been produced before this Ministerial Regulation comes into effect can still be distributed to a maximum of 12 (twelve) months from the date of enforcement.</t>
  </si>
  <si>
    <t>HS. Ex 8481.10.99.00</t>
  </si>
  <si>
    <t>848110 - Pressure-reducing valves; 848110 - Pressure-reducing valves</t>
  </si>
  <si>
    <t>23.060.40 - Pressure regulators; 23.060.40 - Pressure regulators</t>
  </si>
  <si>
    <d:r xmlns:d="http://schemas.openxmlformats.org/spreadsheetml/2006/main">
      <d:rPr>
        <d:sz val="11"/>
        <d:rFont val="Calibri"/>
      </d:rPr>
      <d:t xml:space="preserve">https://members.wto.org/crnattachments/2024/TBT/IDN/final_measure/24_05757_00_x.pdf</d:t>
    </d:r>
  </si>
  <si>
    <t>Draft Resolution 1277, 29 August 2024</t>
  </si>
  <si>
    <t>This draft resolution proposes the inclusion of active ingredient  F81 - POTASSIUM PHOSPHONATE on the Monograph List of Active Ingredients for Pesticides, Household Cleaning Products and Wood Preservatives, which was published by Normative Instruction 103 on 19 October 2021 in the Brazilian Official Gazette (DOU - Diário Oficial da União).</t>
  </si>
  <si>
    <d:r xmlns:d="http://schemas.openxmlformats.org/spreadsheetml/2006/main">
      <d:rPr>
        <d:sz val="11"/>
        <d:rFont val="Calibri"/>
      </d:rPr>
      <d:t xml:space="preserve">https://members.wto.org/crnattachments/2024/SPS/BRA/24_05771_00_x.pdf
Draft: https://antigo.anvisa.gov.br/documents/10181/6855234/CONSULTA+PUBLICA+N%C2%BA+1277+GGTOX.pdf/0affc994-3ce8-474a-bb94-93d7ea8db6ad
Comment form: https://www.gov.br/anvisa/pt-br/centraisdeconteudo/publicacoes/agrotoxicos/formulario-padrao-consulta-publica-ggtox.docx/view</d:t>
    </d:r>
  </si>
  <si>
    <t>Draft resolution 1275, 27 August 2024</t>
  </si>
  <si>
    <t>This draft resolution contains provisions on criteria for the regularization of cleaning products and the like and on the biodegradability of anionic surfactants.It is a proposal to review the Mercosur Technical Regulation for Cleaning and Related Products, GMC Resolution No. 47/07</t>
  </si>
  <si>
    <t>Organic surface-active agents (excl. soap); surface-active preparations, washing preparations, incl. auxiliary washing preparations, and cleaning preparations, whether or not containing soap (excl. those of heading 3401) (HS code(s): 3402)</t>
  </si>
  <si>
    <t>3402 - Organic surface-active agents (excl. soap); surface-active preparations, washing preparations, incl. auxiliary washing preparations, and cleaning preparations, whether or not containing soap (excl. those of heading 3401)</t>
  </si>
  <si>
    <t>71.100.40 - Surface active agents</t>
  </si>
  <si>
    <d:r xmlns:d="http://schemas.openxmlformats.org/spreadsheetml/2006/main">
      <d:rPr>
        <d:sz val="11"/>
        <d:rFont val="Calibri"/>
      </d:rPr>
      <d:t xml:space="preserve">https://members.wto.org/crnattachments/2024/TBT/BRA/24_05783_00_x.pdf</d:t>
    </d:r>
  </si>
  <si>
    <t>Draft resolution 1276, 27 August 2024</t>
  </si>
  <si>
    <t xml:space="preserve">This draft resolution contains provisions on technical regulation on cellulosic materials, packaging and equipment intended to come into contact with food._x000D_
This is a draft resolution under discussion in Mercosur.</t>
  </si>
  <si>
    <t>Food technology (ICS code(s): 67)</t>
  </si>
  <si>
    <t>67.250 - Materials and articles in contact with foodstuffs; 67 - Food technology</t>
  </si>
  <si>
    <d:r xmlns:d="http://schemas.openxmlformats.org/spreadsheetml/2006/main">
      <d:rPr>
        <d:sz val="11"/>
        <d:rFont val="Calibri"/>
      </d:rPr>
      <d:t xml:space="preserve">https://members.wto.org/crnattachments/2024/TBT/BRA/24_05782_00_x.pdf</d:t>
    </d:r>
  </si>
  <si>
    <t>Proposed partial amendments to the ”Regulation on Safety of Pharmaceuticals, etc.”</t>
  </si>
  <si>
    <t xml:space="preserve">The proposed amendments to the ”Regulation on Safety of Pharmaceuticals, etc.” are as follows:_x000D_
A. Specification of submission and follow up of Risk Management Plan (Article 4 and 8 of the draft) _x000D_
     To specify the data including legal sources that the person, who already obtained marketing authorization for the product provided with its Risk Management Plan, is required to summit when applying for another marketing authorization for new product or change._x000D_
B. Streamlined process of approval for change  (Article 8) _x000D_
     To provide a legal basis for addressing changes in the medical product item together with approval for or notification of change, in case an application for approval for change in pharmaceutical manufacturing business (import) is submitted due to the change of manufacturer (importer) name or business site._x000D_
C. Specification of subject and items to be disclosed for data protection (newly established Article 21 bis)_x000D_
     To specify the pharmaceuticals subject to data protection to be determined by Ordinance of Prime Minister under  the Pharmaceutical Affairs Act and the items to be disclosed including product name, manufacturer name and protection period_x000D_
D. Specification of the subject for submission of a risk management plan (newly established Article 23 bis)_x000D_
     To specify the product to establish a Risk Management Plan to be determined by Ordinance of Prime Minister under the Pharmaceutical Affairs Act</t>
  </si>
  <si>
    <t>Medicinal Products, Pharmaceuticals</t>
  </si>
  <si>
    <d:r xmlns:d="http://schemas.openxmlformats.org/spreadsheetml/2006/main">
      <d:rPr>
        <d:sz val="11"/>
        <d:rFont val="Calibri"/>
      </d:rPr>
      <d:t xml:space="preserve">https://members.wto.org/crnattachments/2024/TBT/KOR/24_05793_00_x.pdf</d:t>
    </d:r>
  </si>
  <si>
    <t>PROTOCOLO DE ANÁLISIS Y/O ENSAYOS DE SEGURIDAD DE PRODUCTO ELÉCTRICO PE Nº5/33:2024: Luminaria Solar (Proyector de Área Solar) para Alumbrado Público (Safety analysis and/or test protocol for electrical products PE No. 5/33:2024: Solar luminaires (solar area floodlights) for public lighting) (11 pages, in Spanish)</t>
  </si>
  <si>
    <t>The notified protocol establishes the safety certification procedure requirements for electrical solar luminaires (solar area floodlights) for public outdoor lighting, to be used for floodlighting, when the light is directed by reflection and/or refraction, in a state representative of new products, for use with electrical lighting sources such as LED lamps or other technologies. Examples of public lighting include, but are not limited to, the illumination of: (a) roads reserved for motor vehicle traffic; (b) paths reserved for pedestrians, in particular pavements; (c) cycle lanes; (d) public spaces designed for gatherings, such as squares, parks, gardens, playgrounds and exercise machine areas; and (e) sports venues, including public and multipurpose courts. The following products are excluded from the scope of the protocol: • Solar floodlight luminaires for use exclusively in explosion-proof areas.</t>
  </si>
  <si>
    <t>Solar luminaires (solar area floodlights) for public lighting</t>
  </si>
  <si>
    <t>27.160 - Solar energy engineering; 91.160.20 - Exterior building lighting; 93.080.40 - Street lighting and related equipment</t>
  </si>
  <si>
    <d:r xmlns:d="http://schemas.openxmlformats.org/spreadsheetml/2006/main">
      <d:rPr>
        <d:sz val="11"/>
        <d:rFont val="Calibri"/>
      </d:rPr>
      <d:t xml:space="preserve">https://members.wto.org/crnattachments/2024/TBT/CHL/24_05769_00_s.pdf</d:t>
    </d:r>
  </si>
  <si>
    <t>DARS 1730: 2024, Polyethylene terephthalate (PET) bottles for edible oils -Specification, First Edition</t>
  </si>
  <si>
    <t>This African Draft standard prescribes the requirements and the methods of sampling and testing for polyethylene terephthalate (PET) bottles edible oils.</t>
  </si>
  <si>
    <t>Polymers of ethylene, in primary forms (HS code(s): 3901); Rubber and plastics products (ICS code(s): 83.140)Polyethylene terephthalate (PET) bottles for edible oils </t>
  </si>
  <si>
    <t>3901 - Polymers of ethylene, in primary forms</t>
  </si>
  <si>
    <t>83.140 - Rubber and plastics products</t>
  </si>
  <si>
    <d:r xmlns:d="http://schemas.openxmlformats.org/spreadsheetml/2006/main">
      <d:rPr>
        <d:sz val="11"/>
        <d:rFont val="Calibri"/>
      </d:rPr>
      <d:t xml:space="preserve">https://members.wto.org/crnattachments/2024/TBT/TZA/24_05776_00_e.pdf</d:t>
    </d:r>
  </si>
  <si>
    <t>Draft Commission Implementing Regulation amending Implementing Regulation (EU) 2022/1107 laying down common specifications for certain class D in vitro diagnostic medical devices in accordance with Regulation (EU) 2017/746 of the European Parliament and of the Council </t>
  </si>
  <si>
    <t>This draft Commission Implementing Regulation adds common specifications for some high-risk in vitro diagnostic medical devices in accordance with Art. 9 of Regulation (EU) 2017/746, notably in relation to their performance evaluation. It also makes a number of editorial corrections to existing specifications.</t>
  </si>
  <si>
    <t>In vitro diagnostic medical devices</t>
  </si>
  <si>
    <t>11.040 - Medical equipment</t>
  </si>
  <si>
    <d:r xmlns:d="http://schemas.openxmlformats.org/spreadsheetml/2006/main">
      <d:rPr>
        <d:sz val="11"/>
        <d:rFont val="Calibri"/>
      </d:rPr>
      <d:t xml:space="preserve">https://members.wto.org/crnattachments/2024/TBT/EEC/24_05775_00_e.pdf
https://members.wto.org/crnattachments/2024/TBT/EEC/24_05775_01_e.pdf</d:t>
    </d:r>
  </si>
  <si>
    <t>Cambodia</t>
  </si>
  <si>
    <t>Cambodian Technical Regulation CTR 150:2024 on Methanol in Rice Wine Products</t>
  </si>
  <si>
    <t>This technical regulation shall apply to rice liquor containing methanol at levels less than or equal to 2,000 mg per liter of alcohol. This regulation mandates that any person who produces, processes, imports, advertises, or sells rice wine must comply with this requirement.</t>
  </si>
  <si>
    <t>Rice wine products</t>
  </si>
  <si>
    <t>22 - BEVERAGES, SPIRITS AND VINEGAR; 22 - BEVERAGES, SPIRITS AND VINEGAR</t>
  </si>
  <si>
    <t>Regulation of Minister of Industry on Mandatory Implementation of Indonesian National Standard for Cooking Utensils (Cookware) From Metal As Well As Tableware And Cooking Utensils From Stainless Steel (Stainless Steel Flatware) </t>
  </si>
  <si>
    <t>DraftRegulation of Minister of Industry on Mandatory Implementation of Indonesian National Standard for Cooking Utensils (Cookware) From Metal As Well As Tableware And Cooking Utensils From Stainless Steel (Stainless Steel Flatware) product produced nationally or imported, distributed, and marketed in Indonesia shall conform to SNI requirements. All Producers who produce these products shall perform compliance to those requirements, proven by having certificate SNI and SNI Marking product (SPPT - SNI).The product certificate for SNI marking shall be issued by product certification bodies that have been accredited by KAN and appointed by the Minister of Industry. Directorate of Metal Industry, Ministry of Industry is the responsible institution for the implementation of this decree and shall provide a technical guidance of the decree, which covers procedure of product certification and SNI Marking.Products which are distributed in domestic market that originated domestically and imported shall meet the requirements consisted in:SNI 8752:2020 for Cooking Utensils (Cookware) From Metal As Well As Tableware.SNI 8753:2020 for Cooking Utensils From Stainless Steel (Stainless Steel Flatware). Domestic or imported Cooking Utensils (Cookware) From Metal As Well As Tableware And Cooking Utensils From Stainless Steel (Stainless Steel Flatware) product that has been produced before this Ministerial Regulation comes into effect can still be distributed to a maximum of 12 (twelve) months from the date of enforcement. </t>
  </si>
  <si>
    <t>Cooking Utensils (Cookware) From Metal As Well As Tableware And Cooking Utensils From Stainless Steel (Stainless Steel Flatware) A. Cooking Utensils (Cookware) From Metal As Well As TablewareEx. 7323.93.10;Ex. 7323.93.90;Ex. 7323.94.00;Ex. 7323.99.10;Ex. 7323.99.90;Ex. 7615.10.90; Ex. 7616.10.90;Ex. 7616.99.59; andEx. 7616.99.90.B. Cooking Utensils From Stainless Steel (Stainless Steel Flatware)8211.10.00;8211.91.00;Ex. 8211.92.99;8215.10.00;8215.20.00;8215.91.00; and8215.99.00.</t>
  </si>
  <si>
    <t>821599 - Spoons, forks, ladles, skimmers, cake-servers, fish-knives, butter-knives, sugar tongs and similar kitchen or tableware of base metal, not plated with precious metal (excl. sets of articles such as lobster cutters and poultry shears); 821591 - Spoons, forks, ladles, skimmers, cake-servers, fish-knives, butter-knives, sugar tongs and similar kitchen or tableware of base metal, plated with precious metal (excl. sets of articles such as lobster cutters and poultry shears); 821520 - Sets consisting of one or more knives of heading 8211 and at least an equal number of spoons, forks or other articles of heading 8215, of base metal, containing no articles plated with precious metal; 821510 - Sets of spoons, forks or other articles of heading 8215, which may also contain up to an equivalent number of knives, of base metal, containing at least one article plated with precious metal; 821192 - Knives with fixed blades of base metal (excl. straw knives, machetes, knives and cutting blades for machines or mechanical appliances, table knives, fish knives, butter knives, razors and razor blades and knives of heading 8214); 821191 - Table knives having fixed blades of base metal, incl. handles (excl. butter knives and fish knives); 821110 - Sets of assorted articles of knives of heading 8211; sets in which there is a higher number of knives of heading 8211 than of any other article; 761699 - Articles of aluminium, n.e.s.; 761610 - Nails, tacks, staples, screws, bolts, nuts, screw hooks, rivets, cotters, cotter pins, washers and similar articles, of aluminium (excl. staples in strips, plugs, bungs and the like, threaded); 761510 - Table, kitchen or other household articles and parts thereof, and pot scourers and scouring or polishing pads, gloves and the like, of aluminium (excl. cans, boxes and similar containers of heading 7612, articles of the nature of a work implement, spoons, ladles, forks and other articles of heading 8211 to 8215, ornamental articles, fittings and sanitary ware); 732399 - Table, kitchen or other household articles, and parts thereof, of iron other than cast iron or steel other than stainless (excl. enamelled articles; cans, boxes and similar containers of heading 7310; waste baskets; shovels and other articles of the nature of a work implement; cutlery, spoons, ladles etc. of heading 8211 to 8215; ornamental articles; sanitary ware); 732394 - Table, kitchen or other household articles, and parts thereof, of iron other than cast iron or steel other than stainless, enamelled (excl. cans, boxes and similar containers of heading 7310; waste baskets; shovels, corkscrews and other articles of the nature of a work implement; articles of cutlery, spoons, ladles, forks etc. of heading 8211 to 8215; ornamental articles; sanitary ware; articles for table use); 732393 - Table, kitchen or other household articles, and parts thereof, of stainless steel (excl. cans, boxes and similar containers of heading 7310; waste baskets; shovels, corkscrews and other articles of the nature of a work implement; articles of cutlery, spoons, ladles, forks etc. of heading 8211 to 8215; ornamental articles; sanitary ware)</t>
  </si>
  <si>
    <t>77.140.99 - Other iron and steel products; 97.040.60 - Cookware, cutlery and flatware; 97.040.99 - Other kitchen equipment</t>
  </si>
  <si>
    <d:r xmlns:d="http://schemas.openxmlformats.org/spreadsheetml/2006/main">
      <d:rPr>
        <d:sz val="11"/>
        <d:rFont val="Calibri"/>
      </d:rPr>
      <d:t xml:space="preserve">https://members.wto.org/crnattachments/2024/TBT/IDN/24_05765_00_x.pdf</d:t>
    </d:r>
  </si>
  <si>
    <t>PROTOCOLO DE ANÁLISIS Y/O ENSAYOS DE SEGURIDAD DE PRODUCTO ELÉCTRICO PE Nº5/32:2024: Luminaria Solar para Alumbrado Público (Safety analysis and/or test protocol for electrical products PE No. 5/32:2024: Solar luminaires for road and street lighting) (11 pages, in Spanish)</t>
  </si>
  <si>
    <t>The notified protocol establishes the safety certification procedure requirements for electrical solar luminaires for road and street lighting and other public outdoor lighting applications; tunnel lighting; column-integrated luminaires with a minimum total height above normal ground level of 2.5 m; and luminaires in a state representative of new products, for use with electrical lighting sources such as LED lamps or other technologies. The protocol covers: -Integrated solar luminaires -Split-type solar luminaires The following products are excluded from the scope of the protocol: •Solar luminaires for use exclusively in explosion-proof areas.</t>
  </si>
  <si>
    <t>Solar luminaires for road and street lighting</t>
  </si>
  <si>
    <d:r xmlns:d="http://schemas.openxmlformats.org/spreadsheetml/2006/main">
      <d:rPr>
        <d:sz val="11"/>
        <d:rFont val="Calibri"/>
      </d:rPr>
      <d:t xml:space="preserve">https://members.wto.org/crnattachments/2024/TBT/CHL/24_05768_00_s.pdf</d:t>
    </d:r>
  </si>
  <si>
    <t>National Emission Standards for Hazardous Air Pollutants: Reciprocating Internal Combustion Engines and New Source Performance Standards: Internal Combustion Engines; Electronic Reporting</t>
  </si>
  <si>
    <t xml:space="preserve">The Environmental Protection Agency (EPA) is finalizing amendments to the National Emission Standards for Hazardous Air Pollutants (NESHAP) for Reciprocating Internal Combustion Engines (RICE), the New Source Performance Standards (NSPS) for Stationary Compression Ignition (CI) Internal Combustion Engines, and the NSPS for Stationary Spark Ignition (SI) Internal Combustion Engines, to add electronic reporting provisions. The addition of electronic reporting provisions will provide for simplified reporting by sources and enhance availability of data on sources to the EPA and the public. In addition, a small number of clarifications and corrections to these rules are being finalized to provide clarification and correct inadvertent and other minor errors in the Code of Federal Regulations (CFR), particularly related to tables.This final rule is effective on 30 August 2024.89 Federal Register (FR) 70505, 26 June 2023; Title 40 Code of Federal Regulations (CFR) Parts 60 and 63_x000D_
https://www.govinfo.gov/content/pkg/FR-2024-08-30/html/2024-18766.htm_x000D_
https://www.govinfo.gov/content/pkg/FR-2024-08-30/pdf/2024-18766.pdfThis final rule and the proposed rule notified as G/TBT/N/USA/2012 are identified by Docket Number EPA-HQ-OAR-2022-0879. The Docket Folder is available on Regulations.gov at https://www.regulations.gov/docket/EPA-HQ-OAR-2022-0879/document and provides access to primary and supporting documents as well as comments received. Documents are also accessible from Regulations.gov by searching the Docket Number. </t>
  </si>
  <si>
    <t>Stationary reciprocating internal combustion engines; emissions; Environmental protection (ICS code(s): 13.020); Air quality (ICS code(s): 13.040); Rotary-reciprocating mechanisms and their parts (ICS code(s): 21.240)</t>
  </si>
  <si>
    <t>13.020 - Environmental protection; 13.040 - Air quality; 21.240 - Rotary-reciprocating mechanisms and their parts; 13.020 - Environmental protection; 13.040 - Air quality; 21.240 - Rotary-reciprocating mechanisms and their parts</t>
  </si>
  <si>
    <t>Protection of the environment (TBT); Cost saving and productivity enhancement (TBT)</t>
  </si>
  <si>
    <d:r xmlns:d="http://schemas.openxmlformats.org/spreadsheetml/2006/main">
      <d:rPr>
        <d:sz val="11"/>
        <d:rFont val="Calibri"/>
      </d:rPr>
      <d:t xml:space="preserve">https://members.wto.org/crnattachments/2024/TBT/USA/final_measure/24_05780_00_e.pdf</d:t>
    </d:r>
  </si>
  <si>
    <t>American Society of Mechanical Engineers 2021-2022 Code Editions</t>
  </si>
  <si>
    <t xml:space="preserve">The U.S. Nuclear Regulatory Commission (NRC) is amending its regulations to incorporate by reference the 2021 Edition of the American Society of Mechanical Engineers Boiler and Pressure Vessel Code and the 2022 Edition of the American Society of Mechanical Engineers Operation and Maintenance of Nuclear Power Plants, Division 1, OM Code: Section IST, for nuclear power plants. This action is in accordance with the NRC's policy to periodically update the regulations to incorporate by reference new editions of the American Society of Mechanical Engineers Codes and is intended to maintain the safety of nuclear power plants and to make NRC activities more effective and efficient. This amendment also incorporates editorial changes that do not change the technical information.This final rule is effective on 30 September 2024. The incorporation by reference of certain publications listed in the regulation is approved by the Director of the Federal Register as of 30 September 2024.88 Federal Register (FR) 70449, Title 10 Code of Federal Regulations (CFR) Parts 50_x000D_
https://www.govinfo.gov/content/pkg/FR-2024-08-30/html/2024-19235.htm_x000D_
https://www.govinfo.gov/content/pkg/FR-2024-08-30/pdf/2024-19235.pdf_x000D_
This final rule and previous actions notified under the symbol G/TBT/N/USA/2030 are identified by Docket Number NRC-2018-0289. The Docket Folder is available from Regulations.gov at https://www.regulations.gov/docket/NRC-2018-0289/document and provides access to primary and supporting documents as well as comments received. Documents are also accessible from Regulations.gov by searching the Docket Number. </t>
  </si>
  <si>
    <t>Nuclear power plant engineering; Quality (ICS code(s): 03.120); Accident and disaster control (ICS code(s): 13.200); Radiation protection (ICS code(s): 13.280); Nuclear energy engineering (ICS code(s): 27.120)</t>
  </si>
  <si>
    <t>03.120 - Quality; 13.200 - Accident and disaster control; 13.280 - Radiation protection; 27.120 - Nuclear energy engineering; 03.120 - Quality; 13.200 - Accident and disaster control; 13.280 - Radiation protection; 27.120 - Nuclear energy engineering</t>
  </si>
  <si>
    <d:r xmlns:d="http://schemas.openxmlformats.org/spreadsheetml/2006/main">
      <d:rPr>
        <d:sz val="11"/>
        <d:rFont val="Calibri"/>
      </d:rPr>
      <d:t xml:space="preserve">https://members.wto.org/crnattachments/2024/TBT/USA/final_measure/24_05781_00_e.pdf</d:t>
    </d:r>
  </si>
  <si>
    <t>Draft Decree of Minister of Industry on Mandatory Implementation of Indonesia National Standard for Aluminum Sulphate</t>
  </si>
  <si>
    <t>Addendum of Mandatory Implementation of Indonesia National Standard under G/TBT/N/IDN/75/Add.1 dated 11 February 2014 for Regulation of Minister of Industry No.  67/M-IND/PER/12/2013 concerning Mandatory Implementation of SNI for Aluminum Sulphate, has been revoked and replaced by Regulation of Minister of Industry No.24 Year 2024 concerning Mandatory Implementation of Indonesia National Standard for Aluminum Sulphate.The Regulation covers the issuance of SNI certificate using type 5 certification scheme, production process assessment and implementation of ISO 9001:2015, including product quality testing based on SNI 0032:2011 for Aluminum Sulphate (HS Codes: ex. 2833.22.10). Domestic or imported Aluminum Sulphate product that has been produced before this Ministerial Regulation comes into effect can still be distributed to a maximum of 12 (twelve) months from the date of enforcement.</t>
  </si>
  <si>
    <t>HS. Ex 2833.22.10.00</t>
  </si>
  <si>
    <t>283322 - Sulphate of aluminium; 283322 - Sulphate of aluminium</t>
  </si>
  <si>
    <t>71.060.50 - Salts; 71.060.50 - Salts</t>
  </si>
  <si>
    <d:r xmlns:d="http://schemas.openxmlformats.org/spreadsheetml/2006/main">
      <d:rPr>
        <d:sz val="11"/>
        <d:rFont val="Calibri"/>
      </d:rPr>
      <d:t xml:space="preserve">https://members.wto.org/crnattachments/2024/TBT/IDN/final_measure/24_05760_00_x.pdf</d:t>
    </d:r>
  </si>
  <si>
    <t>Notice of Administration Order of Saudi Food and Drug Authority Ref. No. 9125 dated 26 August 2024 entitled “Temporary ban on importation of poultry meat, eggs and their products originating from Morbihan in France”</t>
  </si>
  <si>
    <t>Following the WOAH report dated 23 August 2024, a Highly Pathogenic Avian Influenza (HPAI) virus outbreak has occurred in Morbihan in France. In compliance with the World Organisation for Animal Health (WOAH), Terrestrial Animal Health Code Chapter 10.4, it is deemed necessary for the Kingdom of Saudi Arabia to prevent the entry of the HPAI virus into the country. Therefore, the import of poultry meat, eggs and their products from Morbihan in France to the Kingdom of Saudi Arabia is temporarily suspended (with the exception of processed poultry meat and egg products exposed to either heat or other treatments that ensure deactivation of the HPAI virus, as long as it conforms with the approved health requirements, and standards, with a health certificate issued by the official bodies in France prove that the product is free from the virus).</t>
  </si>
  <si>
    <t>Poultry meat, eggs and their products</t>
  </si>
  <si>
    <t>0407 - Birds' eggs, in shell, fresh, preserved or cooked; 0207 - Meat and edible offal of fowls of the species Gallus domesticus, ducks, geese, turkeys and guinea fowls, fresh, chilled or frozen</t>
  </si>
  <si>
    <t>Human health; Animal health; Food safety; Animal diseases; Pest- or Disease- free Regions / Regionalization; Avian Influenza</t>
  </si>
  <si>
    <d:r xmlns:d="http://schemas.openxmlformats.org/spreadsheetml/2006/main">
      <d:rPr>
        <d:sz val="11"/>
        <d:rFont val="Calibri"/>
      </d:rPr>
      <d:t xml:space="preserve">https://members.wto.org/crnattachments/2024/SPS/SAU/24_05790_00_x.pdf</d:t>
    </d:r>
  </si>
  <si>
    <t>Salmonella Framework for Raw Poultry Products</t>
  </si>
  <si>
    <t>FSIS is announcing its proposed determination that raw chicken carcasses, chicken parts, comminuted chicken, and comminuted turkey products contaminated with certain Salmonella levels and serotypes are adulterated within the meaning of the Poultry Products Inspection Act (PPIA). The proposed determination would establish final product standards based on these Salmonella levels and serotypes and would prevent raw chicken carcasses, chicken parts, comminuted chicken, and comminuted turkey products that contain Salmonella at the levels and serotypes that would render them adulterated from entering commerce. FSIS is also proposing to revise the regulations that require that all poultry slaughter establishments develop, implement, and maintain written procedures to prevent contamination by enteric pathogens throughout the entire slaughter and dressing operation to clarify that these procedures must include a microbial monitoring program (MMP) that incorporates statistical process control (SPC) monitoring methods, to require sampling at rehang instead of pre-chill, and to require that all establishments conduct paired sampling at rehang and post-chill.</t>
  </si>
  <si>
    <t>Poultry and poultry products</t>
  </si>
  <si>
    <t>0301 - Live fish; 02 - MEAT AND EDIBLE MEAT OFFAL; 0302 - Fish, fresh or chilled (excl. fish fillets and other fish meat of heading 0304); 0303 - Frozen fish (excl. fish fillets and other fish meat of heading 0304); 0304 - Fish fillets and other fish meat, whether or not minced, fresh, chilled or frozen; 0305 - Fish, fit for human consumption, dried, salted or in brine; smoked fish, fit for human consumption, whether or not cooked before or during the smoking process; 0407 - Birds' eggs, in shell, fresh, preserved or cooked; 0407 - Birds' eggs, in shell, fresh, preserved or cooked; 0305 - Fish, fit for human consumption, dried, salted or in brine; smoked fish, fit for human consumption, whether or not cooked before or during the smoking process; 0304 - Fish fillets and other fish meat, whether or not minced, fresh, chilled or frozen; 0303 - Frozen fish (excl. fish fillets and other fish meat of heading 0304); 0302 - Fish, fresh or chilled (excl. fish fillets and other fish meat of heading 0304); 0301 - Live fish; 02 - MEAT AND EDIBLE MEAT OFFAL</t>
  </si>
  <si>
    <t>Zoonoses; Salmonella; Food safety; Human health; Modification of final date for comments; Salmonella; Zoonoses; Food safety; Human health</t>
  </si>
  <si>
    <d:r xmlns:d="http://schemas.openxmlformats.org/spreadsheetml/2006/main">
      <d:rPr>
        <d:sz val="11"/>
        <d:rFont val="Calibri"/>
      </d:rPr>
      <d:t xml:space="preserve">https://www.federalregister.gov/documents/2024/08/07/2024-16963/salmonella-framework-for-raw-poultry-products</d:t>
    </d:r>
  </si>
  <si>
    <t>Draft Decree of Minister of Industry on Mandatory Implementation of Indonesian National Standard Low Pressure Gas Stove Type Two and Three Trivets with Lighter System</t>
  </si>
  <si>
    <t>Addendum of Mandatory Implementation of Indonesia National Standard for Regulation of Minister of Industry No. 62/M-IND/PER/11/2013 concerning Compulsory Implementation of Indonesian National Standard (SNI) for Single Burner LPG Gas Stove with Igniter System and Regulation of Minister of Industry No. 37/M-IND/PER/3/2015 concerning Mandatory Implementation of Indonesian National Standard Low Pressure Gas Stove Type Two and Three Trivets with Lighter System, has been revoked and replaced by Regulation of Minister of Industry No. 22 Year 2024 concerning Mandatory Implementation of Indonesian National Standard for Gas stove.The Regulation covers the issuance of SNI certificate using type 5 certification scheme, production process assessment and implementation of ISO 9001:2015, including product quality testing based on:SNI 8660:2018, Household Gas Stove (HS Codes: ex. 7321.11.00).SNI 7613:2019, Commercial Gas Stove (HS Codes: ex. 7321.11.00 and ex. 8419.81.20).SNI 9100:2022, Portable Gas stove (HS Codes: ex. 7321.11.00).Domestic or imported gas stove product that has been produced before this Ministerial Regulation comes into effect can still be distributed to a maximum of 12 (twelve) months from the date of enforcement.</t>
  </si>
  <si>
    <t>Low Pressure Gas Stove Type Two and Three Trivets with Lighter System (SNI 7469:2013) HS Number Ex.7321.11.00.00</t>
  </si>
  <si>
    <t>732111 - Appliances for baking, frying, grilling and cooking and plate warmers, for domestic use, of iron or steel, for gas fuel or for both gas and other fuels (excl. large cooking appliances); 732111 - Appliances for baking, frying, grilling and cooking and plate warmers, for domestic use, of iron or steel, for gas fuel or for both gas and other fuels (excl. large cooking appliances)</t>
  </si>
  <si>
    <t>97.040.20 - Cooking ranges, working tables, ovens and similar appliances; 97.040.20 - Cooking ranges, working tables, ovens and similar appliances</t>
  </si>
  <si>
    <d:r xmlns:d="http://schemas.openxmlformats.org/spreadsheetml/2006/main">
      <d:rPr>
        <d:sz val="11"/>
        <d:rFont val="Calibri"/>
      </d:rPr>
      <d:t xml:space="preserve">https://members.wto.org/crnattachments/2024/TBT/IDN/final_measure/24_05756_00_x.pdf</d:t>
    </d:r>
  </si>
  <si>
    <t>Draft notification on veterinary certificate for regulating the import of milk and milk products into India</t>
  </si>
  <si>
    <t>The draft notification on veterinary health certificate for regulating the import of milk and milk products into India was notified to WTO as document G/SPS/N/IND/75.In order to facilitate trade, the “Veterinary Health Certificate for Import of Milk and Milk Products into India” incorporating DAHD’s sanitary requirements and FSSAI food safety requirements was published on 31 March 2023, enforced with immediate effect. However, the provision was kept that it will be completely in operation after transition/migration time of 60 days.Later on, the transition/migration time has been extended till 31 December 2023, 30 June 2024, 31 July 2024 and 31 October 2024 vide Office Memorandum dated 17 July 2023, 3 January 2024, 10 July 2024 and 7 August 2024, respectively.</t>
  </si>
  <si>
    <t>All products derived from milk</t>
  </si>
  <si>
    <t>0401 - Milk and cream, not concentrated nor containing added sugar or other sweetening matter; 0402 - Milk and cream, concentrated or containing added sugar or other sweetening matter; 0403 - Buttermilk, curdled milk and cream, yogurt, kephir and other fermented or acidified milk and cream, whether or not concentrated or flavoured or containing added sugar or other sweetening matter, fruits, nuts or cocoa; 0404 - Whey, whether or not concentrated or containing added sugar or other sweetening matter; products consisting of natural milk constituents, whether or not containing added sugar or other sweetening matter, n.e.s.; 0405 - Butter, incl. dehydrated butter and ghee, and other fats and oils derived from milk; dairy spreads; 0406 - Cheese and curd; 0405 - Butter, incl. dehydrated butter and ghee, and other fats and oils derived from milk; dairy spreads; 0404 - Whey, whether or not concentrated or containing added sugar or other sweetening matter; products consisting of natural milk constituents, whether or not containing added sugar or other sweetening matter, n.e.s.; 0403 - Buttermilk, curdled milk and cream, yogurt, képhir and other fermented or acidified milk and cream, whether or not concentrated or flavoured or containing added sugar or other sweetening matter, fruits, nuts or cocoa; 0402 - Milk and cream, concentrated or containing added sugar or other sweetening matter; 0401 - Milk and cream, not concentrated nor containing added sugar or other sweetening matter; 0406 - Cheese and curd</t>
  </si>
  <si>
    <t>Modification of content/scope of regulation; Food safety; Animal health; Human health; Adoption/publication/entry into force of reg.; Food safety; Human health; Animal health</t>
  </si>
  <si>
    <d:r xmlns:d="http://schemas.openxmlformats.org/spreadsheetml/2006/main">
      <d:rPr>
        <d:sz val="11"/>
        <d:rFont val="Calibri"/>
      </d:rPr>
      <d:t xml:space="preserve">https://members.wto.org/crnattachments/2024/SPS/IND/24_05754_00_e.pdf
https://dahd.nic.in/sites/default/filess/OM7August2024OnIntegratedVHCForImportOfMilkAndMilkProducts.pdf</d:t>
    </d:r>
  </si>
  <si>
    <t>Draft Order of the Ministry of Agrarian Policy "On Approval of the List of Categories of Feed Materials that May Be Indicated Instead of Certain Feed Materials in the Labelling of Feedingstuffs for Pet Animals"</t>
  </si>
  <si>
    <t>The draft Order provides for the approval of the List of categories of feed materials that may be indicated instead of certain feed materials when labeling pet food.It also establishes that feed that met the requirements of the feed legislation in force prior to the entry into force of this Order, but does not meet the requirements of this Order, may be produced, placed on the market and remain in circulation until the expiration of the minimum shelf life, but not longer than three years from the date of entry into force of this Order. The draft Order aims to implement the provisions of Commission Directive 82/475/EEC of 23 June 1982 laying down the categories of ingredients which may be used for the purposes of labelling compound feedingstuffs for pet animals.The draft Order is also notified under the TBT Agreement.</t>
  </si>
  <si>
    <t>Feed materials, feeding stuffs for pet animals (ICS code(s): 65.120; 67.040; 67.060; 67.080; 67.100; 67.120; 67.180; 67.200)</t>
  </si>
  <si>
    <t>2309 - Preparations of a kind used in animal feeding</t>
  </si>
  <si>
    <t>65.120 - Animal feeding stuffs; 67.040 - Food products in general; 67.060 - Cereals, pulses and derived products; 67.080 - Fruits. Vegetables; 67.100 - Milk and milk products; 67.120 - Meat, meat products and other animal produce; 67.180 - Sugar. Sugar products. Starch; 67.200 - Edible oils and fats. Oilseeds</t>
  </si>
  <si>
    <d:r xmlns:d="http://schemas.openxmlformats.org/spreadsheetml/2006/main">
      <d:rPr>
        <d:sz val="11"/>
        <d:rFont val="Calibri"/>
      </d:rPr>
      <d:t xml:space="preserve">https://members.wto.org/crnattachments/2024/SPS/UKR/24_05746_00_x.pdf
https://members.wto.org/crnattachments/2024/SPS/UKR/24_05746_01_x.pdf
https://minagro.gov.ua/npa/pro-zatverdzhennia-pereliku-katehorii-kormovykh-materialiv-iaki-mozhut-buty-zaznacheni-zamist-okremykh-kormovykh-materialiv-pry-markuvanni-kormiv-dlia-domashnikh-tvaryn</d:t>
    </d:r>
  </si>
  <si>
    <t>Letter of the Federal Service for Veterinary and Phytosanitary Surveillance No. FS-ARe-7/6080-3 as of 14 August 2024</t>
  </si>
  <si>
    <t>This letter introduces a temporary restriction on imports of products mentioned in point 3 as well as the transit of cattle, small cattle and animals susceptible to bluetongue from Denmark to the territory of the Russian Federation due to the registration of bluetongue disease outbreaks.</t>
  </si>
  <si>
    <t>Animal diseases; Animal health; Bluetongue; Pest- or Disease- free Regions / Regionalization</t>
  </si>
  <si>
    <t>Denmark</t>
  </si>
  <si>
    <d:r xmlns:d="http://schemas.openxmlformats.org/spreadsheetml/2006/main">
      <d:rPr>
        <d:sz val="11"/>
        <d:rFont val="Calibri"/>
      </d:rPr>
      <d:t xml:space="preserve">https://members.wto.org/crnattachments/2024/SPS/RUS/24_05758_00_x.pdf
https://fsvps.gov.ru/files/ukazanie-rosselhoznadzora-ot-14-avgusta-2024-goda-fs-arje-7-6080-3/</d:t>
    </d:r>
  </si>
  <si>
    <t>Proyecto de resolución "Por medio de la cual se establecen los requisitos fitosanitarios para la importación a Colombia de granos de cilantro (Coriandrum sativum L.) de origen y procedencia Egipto" (Draft Resolution establishing phytosanitary requirements for the importation into Colombia of coriander (Coriandrum sativum L.) grains originating in and coming from Egypt)</t>
  </si>
  <si>
    <t>The notified draft Resolution establishes requirements for the importation into Colombia of coriander (Coriandrum sativum L.) grains originating in and coming from Egypt.</t>
  </si>
  <si>
    <t>Coriander (Coriandrum sativum L.) grains</t>
  </si>
  <si>
    <t>09092 - - Seeds of coriander:</t>
  </si>
  <si>
    <d:r xmlns:d="http://schemas.openxmlformats.org/spreadsheetml/2006/main">
      <d:rPr>
        <d:sz val="11"/>
        <d:rFont val="Calibri"/>
      </d:rPr>
      <d:t xml:space="preserve">https://members.wto.org/crnattachments/2024/SPS/COL/24_05742_00_s.pdf
https://www.sucop.gov.co/entidades/ica/Normativa?IDNorma=17443</d:t>
    </d:r>
  </si>
  <si>
    <t>The Partial Amendment of "Ordinance for Enforcement of the Road Transport Vehicle Act "</t>
  </si>
  <si>
    <t>Amend to treat two-wheeled vehicles which have an internal combustion engine whose displacement is more than 0.050 liter and equal or less than 0.125 liter and whose maximum power is equal or less than 4.0 kilowatts as “first-class motorized bicycles”, with regard to the definition and the treatment in the type approval system.</t>
  </si>
  <si>
    <t>Motorcycle (HS: 87.11)</t>
  </si>
  <si>
    <t>87 - VEHICLES OTHER THAN RAILWAY OR TRAMWAY ROLLING STOCK, AND PARTS AND ACCESSORIES THEREOF; 8711 - Motorcycles, incl. mopeds, and cycles fitted with an auxiliary motor, with or without side-cars; side-cars</t>
  </si>
  <si>
    <t>43.140 - Motorcycles and mopeds</t>
  </si>
  <si>
    <d:r xmlns:d="http://schemas.openxmlformats.org/spreadsheetml/2006/main">
      <d:rPr>
        <d:sz val="11"/>
        <d:rFont val="Calibri"/>
      </d:rPr>
      <d:t xml:space="preserve">https://members.wto.org/crnattachments/2024/TBT/JPN/24_05750_00_e.pdf</d:t>
    </d:r>
  </si>
  <si>
    <t>Draft partial amendment to the Sanitary Technical Regulation on good practices for storage, distribution and/or transportation for pharmaceutical establishments and establishments manufacturing medical devices for human use</t>
  </si>
  <si>
    <t xml:space="preserve">Draft amendment to the Sanitary Technical Regulation on good practices for storage, distribution and/or transportation for pharmaceutical establishments and establishments manufacturing medical devices for human use. By means of this Addendum No. 3, the Republic of Ecuador advises on the corresponding comment period for the draft partial amendment to the Sanitary Technical Regulation on good practices for storage, distribution and/or transportation for pharmaceutical establishments and establishments manufacturing medical devices for human use, proposed by the National Agency for Sanitary Regulation, Control and Surveillance (ARCSA, Doctor Leopoldo Izquieta Pérez).  1 This information can be provided by including a website address, a PDF attachment, or other information on where the text of the final measure/change to the measure/interpretative guidance can be obtained. G/TBT/N/ECU/504/Add.3  - 2 -   Text available from: Ministerio de Producción, Comercio Exterior, Inversiones y Pesca (Ministry of Production, Foreign Trade, Investment and Fisheries), Subsecretaría de Calidad (Under-Secretariat for Quality), Organismo Nacional de Notificación (National Notification Authority) TBT enquiry point: Patricio Álvarez Plataforma Gubernamental de Gestión Financiera - Piso 8, Bloque amarillo, Av. Amazonas entre Unión Nacional de Periodistas y Alfonso Pereira Quito, Ecuador Tel.: (+593) 2 3948760, Ext. 2252/2254 Email: Puntocontacto-OTCECU@produccion.gob.ec PuntocontactoOTCECU@gmail.com palvarezc@produccion.gob.ec cyepez@produccion.gob.ec __________</t>
  </si>
  <si>
    <t>Proyecto de reforma parcial a la Normativa Técnica Sanitaria de Buenas Prácticas de Almacenamiento, Distribución y/o Transporte para establecimientos farmacéuticos y establecimientos de dispositivos médicos de uso humano (Draft Partial Amendment to the Sanitary Technical Regulation on good practices for storage, distribution and/or transportation for pharmaceutical establishments and establishments manufacturing medical devices for human use)</t>
  </si>
  <si>
    <t>11.120 - Pharmaceutics; 11.120 - Pharmaceutics</t>
  </si>
  <si>
    <d:r xmlns:d="http://schemas.openxmlformats.org/spreadsheetml/2006/main">
      <d:rPr>
        <d:sz val="11"/>
        <d:rFont val="Calibri"/>
      </d:rPr>
      <d:t xml:space="preserve">https://members.wto.org/crnattachments/2024/TBT/ECU/final_measure/24_05749_00_s.pdf</d:t>
    </d:r>
  </si>
  <si>
    <t>Ethaboxam; Pesticide Tolerances. Final Rule</t>
  </si>
  <si>
    <t xml:space="preserve">This regulation establishes a tolerance for residues of 
ethaboxam in or on leaf petiole vegetable subgroup 22B. The 
Interregional Project Number 4 (IR-4) requested this tolerance under 
the Federal Food, Drug, and Cosmetic Act (FFDCA).</t>
  </si>
  <si>
    <t>Leaf petiole</t>
  </si>
  <si>
    <d:r xmlns:d="http://schemas.openxmlformats.org/spreadsheetml/2006/main">
      <d:rPr>
        <d:sz val="11"/>
        <d:rFont val="Calibri"/>
      </d:rPr>
      <d:t xml:space="preserve">https://www.govinfo.gov/content/pkg/FR-2020-08-21/html/2020-17153.htm</d:t>
    </d:r>
  </si>
  <si>
    <t>Draft Decree of Minister of Industry on Mandatory Implementation of Indonesia National Standard for Zinc Oxide</t>
  </si>
  <si>
    <t>Addendum of Mandatory Implementation of Indonesia National Standard under G/TBT/N/IDN/72/Add.1 dated 27 March 2014 for Regulation of Minister of Industry No.  66/M-IND/PER/12/2013 concerning Mandatory Implementation of SNI for Zinc Oxide, has been revoked and replaced by Regulation of Minister of Industry No. 23 Year 2024 concerning Mandatory Implementation of Indonesia National Standard for Zinc Oxide.The Regulation covers the issuance of SNI certificate using type 5 certification scheme, production process assessment and implementation of ISO 9001:2015, including product quality testing based on SNI 0085:2009 for Zinc Oxide (HS Codes: 2817.00.10). Domestic or imported Zinc Oxide product that has been produced before this Ministerial Regulation comes into effect can still be distributed to a maximum of 12 (twelve) months from the date of enforcement.</t>
  </si>
  <si>
    <t>HS. 2817.00.10.00</t>
  </si>
  <si>
    <t>2817 - Zinc oxide; zinc peroxide.; 2817 - Zinc oxide; zinc peroxide</t>
  </si>
  <si>
    <t>71.060.20 - Oxides; 71.060.20 - Oxides</t>
  </si>
  <si>
    <d:r xmlns:d="http://schemas.openxmlformats.org/spreadsheetml/2006/main">
      <d:rPr>
        <d:sz val="11"/>
        <d:rFont val="Calibri"/>
      </d:rPr>
      <d:t xml:space="preserve">https://members.wto.org/crnattachments/2024/TBT/IDN/final_measure/24_05755_00_x.pdf</d:t>
    </d:r>
  </si>
  <si>
    <t>GNT USA, LLC; Filing of Color Additive Petition; Notification of Petition</t>
  </si>
  <si>
    <t>The Food and Drug Administration (FDA or we) is announcing that we have filed a petition, submitted by GNT USA, LLC, proposing that the colour additive regulations be amended to provide for the safe use of spirulina extract in foods generally in amounts consistent with good manufacturing practice.The colour additive petition was filed on 18 July 2024.</t>
  </si>
  <si>
    <t>67 - Food technology</t>
  </si>
  <si>
    <d:r xmlns:d="http://schemas.openxmlformats.org/spreadsheetml/2006/main">
      <d:rPr>
        <d:sz val="11"/>
        <d:rFont val="Calibri"/>
      </d:rPr>
      <d:t xml:space="preserve">https://members.wto.org/crnattachments/2024/SPS/USA/24_05744_00_e.pdf
https://www.govinfo.gov/content/pkg/FR-2024-08-05/pdf/2024-17090.pdf</d:t>
    </d:r>
  </si>
  <si>
    <t>Proyecto de resolución "Por medio de la cual se establecen los requisitos fitosanitarios para la importación a Colombia de clavos de olor (Syzygium aromaticum (L.) Merr. &amp; L.M.Perry) secos procedentes de la República Popular China" (Draft Resolution establishing phytosanitary requirements for the importation into Colombia of dried cloves (Syzygium aromaticum (L.) Merr. &amp; L.M.Perry) from the People's Republic of China)</t>
  </si>
  <si>
    <t>The notified draft Resolution establishes phytosanitary requirements for the importation into Colombia of dried cloves (Syzygium aromaticum) from China.</t>
  </si>
  <si>
    <t>Dried cloves (Syzygium aromaticum)</t>
  </si>
  <si>
    <t>0907 - Cloves, whole fruit, cloves and stems</t>
  </si>
  <si>
    <t>Territory protection; Plant health</t>
  </si>
  <si>
    <t>China</t>
  </si>
  <si>
    <d:r xmlns:d="http://schemas.openxmlformats.org/spreadsheetml/2006/main">
      <d:rPr>
        <d:sz val="11"/>
        <d:rFont val="Calibri"/>
      </d:rPr>
      <d:t xml:space="preserve">https://members.wto.org/crnattachments/2024/SPS/COL/24_05741_00_s.pdf
https://www.sucop.gov.co/entidades/ica/Normativa?IDNorma=17434</d:t>
    </d:r>
  </si>
  <si>
    <t>Proposed Amendments to the Standards and Specifications for Foods</t>
  </si>
  <si>
    <t xml:space="preserve">The proposed amendments seek to:_x000D_
1. Revise the limit of mycotoxin in Formulas;_x000D_
2. Revise the lists of food ingredients in [Annex 1], [Annex 2] and [Annex 3];_x000D_
3. Revise and establish the maximum residual limits of pesticides for food [104 pesticides including Inpyrfluxam];_x000D_
4. Revise and establish the maximum residual limits of veterinary drugs for food;_x000D_
5. Revise and establish the general test methods;_x000D_
6. Revise the other provisions such as clarification of text.</t>
  </si>
  <si>
    <t>Food safety; Human health; Mycotoxins; Maximum residue limits (MRLs)</t>
  </si>
  <si>
    <d:r xmlns:d="http://schemas.openxmlformats.org/spreadsheetml/2006/main">
      <d:rPr>
        <d:sz val="11"/>
        <d:rFont val="Calibri"/>
      </d:rPr>
      <d:t xml:space="preserve">https://members.wto.org/crnattachments/2024/SPS/KOR/24_05745_00_x.pdf</d:t>
    </d:r>
  </si>
  <si>
    <t>Proyecto de resolución "Por medio de la cual se establecen los requisitos fitosanitarios para la importación a Colombia de plantas de barbas de viejo (Tillandsia usneoides (L.) L.) originarias de la República Federativa de Brasil" (Draft Resolution establishing phytosanitary requirements for the importation into Colombia of Spanish moss (Tillandsia usneoides L.) originating in the Federative Republic of Brazil)</t>
  </si>
  <si>
    <t>The notified draft Resolution establishes requirements for the importation into Colombia of Spanish moss (Tillandsia usneoides L.) originating in the Federative Republic of Brazil.</t>
  </si>
  <si>
    <t>Spanish moss (Tillandsia usneoides L.)</t>
  </si>
  <si>
    <d:r xmlns:d="http://schemas.openxmlformats.org/spreadsheetml/2006/main">
      <d:rPr>
        <d:sz val="11"/>
        <d:rFont val="Calibri"/>
      </d:rPr>
      <d:t xml:space="preserve">https://members.wto.org/crnattachments/2024/SPS/COL/24_05740_00_s.pdf
https://www.sucop.gov.co/entidades/ica/Normativa?IDNorma=17423</d:t>
    </d:r>
  </si>
  <si>
    <t>draft Resolution of the Cabinet of Ministers of Ukraine “On Approval of the Technical Regulation on Ecodesign Requirements for Electronic Displays”</t>
  </si>
  <si>
    <t>Ukraine notifies the adoption of the Resolution of the Cabinet of Ministers of Ukraine No. 949 "On Approval of the Technical Regulation on Ecodesign Requirements for Electronic Displays" of 20 August 2024. It was published on 22 August 2024.The Resolution will enter into force  simultaneously with the enforcement of the Resolution of the Cabinet of Ministers of Ukraine on the cancellation of the Resolution of the Cabinet of Ministers of Ukraine  No. 359 “On Approval of the Technical Regulation for Energy Labelling of TVs” of 24 May 2017.</t>
  </si>
  <si>
    <t>Electronic displays, including TVs, monitors and digital information displays</t>
  </si>
  <si>
    <t>31.120 - Electronic display devices; 31.120 - Electronic display devices</t>
  </si>
  <si>
    <t>Consumer information, labelling (TBT); Prevention of deceptive practices and consumer protection (TBT); Protection of the environment (TBT); Harmonization (TBT)</t>
  </si>
  <si>
    <d:r xmlns:d="http://schemas.openxmlformats.org/spreadsheetml/2006/main">
      <d:rPr>
        <d:sz val="11"/>
        <d:rFont val="Calibri"/>
      </d:rPr>
      <d:t xml:space="preserve">https://members.wto.org/crnattachments/2024/TBT/UKR/final_measure/24_05732_00_e.pdf
https://members.wto.org/crnattachments/2024/TBT/UKR/final_measure/24_05732_00_x.pdf</d:t>
    </d:r>
  </si>
  <si>
    <t>Draft Order of the Ministry of Agrarian Policy "On Approval of the List of Categories of Feed Materials that May Be Indicated Instead of Certain Feed Materials in the Labeling of Feedingstuffs for Pet Animals"</t>
  </si>
  <si>
    <t>The draft Order provides for the approval of the List of categories of feed materials that may be indicated instead of certain feed materials when labeling pet food.It also establishes that feed that met the requirements of the feed legislation in force prior to the entry into force of this Order, but does not meet the requirements of this Order, may be produced, placed on the market and remain in circulation until the expiration of the minimum shelf life, but not longer than three years from the date of entry into force of this Order. The draft Order aims to implement the provisions of Commission Directive 82/475/EEC of 23 June 1982 laying down the categories of ingredients which may be used for the purposes of labelling compound feedingstuffs for pet animals.The draft Order is also notified under the SPS Agreement.</t>
  </si>
  <si>
    <t>Feed materials, feeding stuffs for pet animals(ICS code(s): 65.120; 67.040; 67.060; 67.080; 67.100; 67.120; 67.180; 67.200)</t>
  </si>
  <si>
    <t>Animal health</t>
  </si>
  <si>
    <d:r xmlns:d="http://schemas.openxmlformats.org/spreadsheetml/2006/main">
      <d:rPr>
        <d:sz val="11"/>
        <d:rFont val="Calibri"/>
      </d:rPr>
      <d:t xml:space="preserve">https://members.wto.org/crnattachments/2024/TBT/UKR/24_05751_00_x.pdf
https://members.wto.org/crnattachments/2024/TBT/UKR/24_05751_01_x.pdf
https://minagro.gov.ua/npa/pro-zatverdzhennia-pereliku-katehorii-kormovykh-materialiv-iaki-mozhut-buty-zaznacheni-zamist-okremykh-kormovykh-materialiv-pry-markuvanni-kormiv-dlia-domashnikh-tvaryn</d:t>
    </d:r>
  </si>
  <si>
    <t xml:space="preserve">Use of Advanced and Emerging Technologies for Quantification of 
Annual Facility Methane Emissions Under the Greenhouse Gas Reporting 
Program</t>
  </si>
  <si>
    <t xml:space="preserve">The Environmental Protection Agency (EPA) invites public comment on the potential for expanded use of advanced and emerging technologies for methane emissions quantification in EPA's Greenhouse Gas Reporting Program (GHGRP). These technologies are an important part of EPA's GHGRP, including under the recently finalized amendments for Petroleum and Natural Gas Systems. EPA intends to use the feedback received in response to this RFI to consider whether it is appropriate to undertake further rulemaking addressing the use of advanced measurement technologies in the GHGRP for petroleum and natural gas systems and municipal solid waste (MSW) landfills, beyond the current role provided in existing rules for these technologies.Comments must be received on or before 28 October 2024.89 Federal Register (FR) 70177, 29 August 2024:_x000D_
https://www.govinfo.gov/content/pkg/FR-2024-08-29/html/2024-19403.htm_x000D_
https://www.govinfo.gov/content/pkg/FR-2024-08-29/pdf/2024-19403.pdfThis proposed rule is identified by Docket Number EPA-HQ-OAR-2024-0350. The Docket Folder is available on Regulations.gov at https://www.regulations.gov/docket/EPA-HQ-OAR-2024-0350/document and provides access to primary documents as well as comments received. Documents are also accessible from Regulations.gov by searching the Docket Number. WTO Members and their stakeholders are asked to submit comments to the USA TBT Enquiry Point. Comments received by the USA TBT Enquiry Point from WTO Members and their stakeholders by 4pmEastern Time on 28 October 2024 will be shared with the EPA and will also be submitted to the Docket on Regulations.gov if received within the comment period.Previous actions notified under the symbol G/TBT/N/USA/2027 are identified by Docket Number EPA-HQ-OAR-2023-0234. The Docket Folder is available on Regulations.gov at https://www.regulations.gov/docket/EPA-HQ-OAR-2023-0234/document and provides access to primary and supporting documents as well as comments received. Documents are also accessible from Regulations.gov by searching the Docket Number. G/TBT/N/USA/1802 including subsequent addenda and corrigendum identified by Docket Number EPA-HQ-OAR-2021-0317G/TBT/N/USA/1880 and subsequent addenda identified by Docket Number EPA-HQ-OAR-2019-0424</t>
  </si>
  <si>
    <t>03.120.10 - Quality management and quality assurance; 03.120.20 - Product and company certification. Conformity assessment; 13.040 - Air quality; 19.040 - Environmental testing; 23.040 - Pipeline components and pipelines; 23.060 - Valves; 23.080 - Pumps; 75.020 - Extraction and processing of petroleum and natural gas; 75.180.10 - Exploratory, drilling and extraction equipment; 75.200 - Petroleum products and natural gas handling equipment; 03.120.10 - Quality management and quality assurance; 03.120.20 - Product and company certification. Conformity assessment; 13.040 - Air quality; 19.040 - Environmental testing; 23.040 - Pipeline components and pipelines; 23.060 - Valves; 23.080 - Pumps; 75.020 - Extraction and processing of petroleum and natural gas; 75.180.10 - Exploratory, drilling and extraction equipment; 75.200 - Petroleum products and natural gas handling equipment</t>
  </si>
  <si>
    <d:r xmlns:d="http://schemas.openxmlformats.org/spreadsheetml/2006/main">
      <d:rPr>
        <d:sz val="11"/>
        <d:rFont val="Calibri"/>
      </d:rPr>
      <d:t xml:space="preserve">https://members.wto.org/crnattachments/2024/TBT/USA/24_05747_00_e.pdf</d:t>
    </d:r>
  </si>
  <si>
    <t>Call for submissions, Application A1260 – 2-Methyloxolane as a processing aid; Supporting Document 1 Risk and technical assessment report, Application A1260 – 2-Methyloxolane as a processing aid;; (28 page(s), in English)</t>
  </si>
  <si>
    <t>FSANZ has assessed an application to amend the Australia New Zealand Food Standards Code (the Code) to permit use of 2-methyloxolane (2-MeOx) as an extraction solvent processing aid. 2-MeOx can be used to extract and separate oils and proteins from plant-based products, including oilseeds. It can also be used to extract components such as flavours, fragrances and colours, again from plant-based sources.FSANZ concluded the extraction solvent achieves its technological purpose. An identity and purity specification is to be inserted into Schedule 3 of the Code (which reflects the specifications detailed in Commission Directive (EU) 2023/175 dated 26 January 2023), to ensure the product meets the appropriate requirements so that the presence of certain impurities is minimised. FSANZ proposes to set maximum permitted levels (MPL) for residual 2-MeOx in foods: 3 mg/kg for infant formula products; 5 mg/kg in foods for infants and formulated supplementary foods for young children; and 20 mg/kg for other foods.No public health and safety concerns were identified from 2-MeOx as an extraction solvent at the proposed MPLs.</t>
  </si>
  <si>
    <t>Foods sold in Australia (both imported and domestically produced)</t>
  </si>
  <si>
    <t>67.020 - Processes in the food industry</t>
  </si>
  <si>
    <t>Draft Resolution of the Cabinet of Ministers of Ukraine “On Amendments to the Resolution of the Cabinet of Ministers of Ukraine No. 537 of 7 May 2022”</t>
  </si>
  <si>
    <t xml:space="preserve">The draft Resolution amends the Resolution of the Cabinet of Ministers of Ukraine No. 537 "Some issues of state control to check compliance with the legislation on food, feed, animal by-products, health and welfare of animals, state veterinary and sanitary control and imports of goods to the customs territory of Ukraine during martial law" of 7 May 2022, which defines the peculiarities of  state control over compliance with legislation on food, feed, and animal by-products during martial law. The peculiarities are set forth in paragraph 1 of Resolution No. 537 and include the following:_x000D_
- for imports of cargoes containing products, state control measures are carried out in the form of documentary inspection and compliance checks at the state border. Exceptions include cargoes  subject to physical inspection at the state border and laboratory research (testing) in cases specified in paragraphs 1, 2 and 4 of part one of Article 45 of the Law "On State Control over Compliance with Legislation on Food, Feed, By-products of Animal Origin, Animal Health and Welfare";_x000D_
 - for imports of cargoes containing  food products of non-animal origin and feed of non-animal origin, state control measures are carried out in the form of documentary inspection. Exceptions include cargoes subject to compliance checks at the state border, physical inspection at the state border and laboratory research (testing) in cases specified in paragraphs 1, 2 and 4 of part one of Article 45 of the Law of Ukraine “On State Control over Compliance with Legislation on Food, Feed, Animal By-Products, Animal Health and Welfare” and if such cargoes are included in the list of food products of non-animal origin and feed of non-animal origin that are subject to enhanced state control when imported (sent) into the customs territory of Ukraine, as approved by the Order of the Ministry of Agrarian Policy No 158 of 26 March 2018.The draft Resolution provides for the exclusion of paragraph 1 of Resolution No. 537 concerning the provision on the temporary possibility to carry out state control with the peculiarities of compliance with the legislation on food, feed, by-products of animal origin, animal health and welfare. The adoption of the draft Resolution will lead to the renewal of inspections (state control measures) of cargoes containing food, feed and by-products of animal origin when they are imported into the customs territory of Ukraine.</t>
  </si>
  <si>
    <t>Food, feed, by-products of animal origin, live animals</t>
  </si>
  <si>
    <d:r xmlns:d="http://schemas.openxmlformats.org/spreadsheetml/2006/main">
      <d:rPr>
        <d:sz val="11"/>
        <d:rFont val="Calibri"/>
      </d:rPr>
      <d:t xml:space="preserve">https://members.wto.org/crnattachments/2024/SPS/UKR/24_05752_00_e.pdf
https://members.wto.org/crnattachments/2024/SPS/UKR/24_05752_00_x.pdf
https://minagro.gov.ua/npa/pro-vnesennia-zmin-do-postanovy-kabinetu-ministriv-ukrainy-vid-7-travnia-2022-r-537</d:t>
    </d:r>
  </si>
  <si>
    <t xml:space="preserve">Allocation of Spectrum for Non-Federal Space Launch Operations; 
Federal Earth Stations Communicating With Non-Federal Fixed Satellite 
Service Space Stations; and Federal Space Station Use of the 399.9-400.05 MHz Band</t>
  </si>
  <si>
    <t xml:space="preserve">The Federal Communications Commission (Commission) is correcting a final rule (notified as G/TBT/N/USA/2096/Add.1) that appeared in the Federal Register on 5 August 2024.This correction is effective 4 September 2024.89 Federal Register (FR) 70115, Title 47 Code of Federal Regulations (CFR) Part 2_x000D_
https://www.govinfo.gov/content/pkg/FR-2024-08-29/html/2024-19176.htm_x000D_
https://www.govinfo.gov/content/pkg/FR-2024-08-29/pdf/2024-19176.pdfhttps://docs.fcc.gov/public/attachments/FCC-23-76A1.pdfThis final rule; correcting amendments and previous actions notified under the symbol G/TBT/N/USA/2096 are identified by ET Docket No. 13-115 and RM-11341FCC 23-76. Documents are also accessible from the FCC's Electronic Document Management System (EDOCS) by searching the Docket Number. The full text of this final rule is available from the Commission's website at https://docs.fcc.gov/public/attachments/FCC-23-76A1.pdf. Filings and proceedings are available from the FCC's Electronic Comment Filing System (ECFS) at https://www.fcc.gov/ecfs/search/search-filings/results?q=(proceedings.name:(%2213-115%22))</t>
  </si>
  <si>
    <t>Frequency allocations to address the use of spectrum by manned and unmanned spacecraft during space missions; Radiocommunications (ICS 33.060), Mobile services (ICS  33.070),  Emission  (ICS  33.100.10),  Aircraft  and  space  vehicles  in  general  (ICS 49.020), On-board equipment and instruments (ICS 49.090)</t>
  </si>
  <si>
    <t>33.060 - Radiocommunications; 33.060 - Radiocommunications; 33.070 - Mobile services; 33.070 - Mobile services; 33.100.10 - Emission; 33.100.10 - Emission; 49.020 - Aircraft and space vehicles in general; 49.020 - Aircraft and space vehicles in general; 49.090 - On-board equipment and instruments; 49.090 - On-board equipment and instruments; 33.060 - Radiocommunications; 33.070 - Mobile services; 33.100.10 - Emission; 49.020 - Aircraft and space vehicles in general; 49.090 - On-board equipment and instruments</t>
  </si>
  <si>
    <t>Protection of human health or safety (TBT); Cost saving and productivity enhancement (TBT)</t>
  </si>
  <si>
    <d:r xmlns:d="http://schemas.openxmlformats.org/spreadsheetml/2006/main">
      <d:rPr>
        <d:sz val="11"/>
        <d:rFont val="Calibri"/>
      </d:rPr>
      <d:t xml:space="preserve">https://members.wto.org/crnattachments/2024/TBT/USA/24_05748_00_e.pdf</d:t>
    </d:r>
  </si>
  <si>
    <t>Draft resolution 1220, 24 November 2023</t>
  </si>
  <si>
    <t>Draft resolution 1220, 24 November 2023 - previously notified through G/TBT/N/BRA/1508 - which is regarded to Good Cosmetovigilance Practices within companies responsible for cosmetic products of human use regulated by the Brazilian Health  Regulatory Agency (ANVISA), was adopted as  Resolution 894, 27 August 2024.The final text is available only in Portuguese and can be downloaded at: https://antigo.anvisa.gov.br/documents/10181/5141647/RDC_894_2024_.pdf/d836cfa8-4dfb-4c80-acb6-17e7d4721855</t>
  </si>
  <si>
    <t>ESSENTIAL OILS AND RESINOIDS; PERFUMERY, COSMETIC OR TOILET PREPARATIONS (HS code(s): 33)</t>
  </si>
  <si>
    <t>33 - ESSENTIAL OILS AND RESINOIDS; PERFUMERY, COSMETIC OR TOILET PREPARATIONS; 33 - ESSENTIAL OILS AND RESINOIDS; PERFUMERY, COSMETIC OR TOILET PREPARATIONS</t>
  </si>
  <si>
    <t>IoT Product Security Conformity Assessment Scheme Policy</t>
  </si>
  <si>
    <t xml:space="preserve">Japan has published a final policy for a voluntary scheme for IoT products with multiple conformity assessment levels._x000D_
Products in scope are those that have the ability to send and receive data using Internet Protocol (IP), including products that are indirectly connected to the internet (excluding general-purpose IT products to which users can easily alter security measures such as via software products (PCs, tablets, smartphones, etc.)).The scheme is scheduled to start in part by March 31, 2025.</t>
  </si>
  <si>
    <t>Products that have the ability to send and receive data using Internet Protocol (IP), including products that are indirectly connected to the internet (excluding general-purpose IT products to which users can easily alter security measures such as via software products (PCs, tablets, smartphones, etc.)). </t>
  </si>
  <si>
    <t>35 - INFORMATION TECHNOLOGY. OFFICE MACHINES; 35 - INFORMATION TECHNOLOGY. OFFICE MACHINES</t>
  </si>
  <si>
    <d:r xmlns:d="http://schemas.openxmlformats.org/spreadsheetml/2006/main">
      <d:rPr>
        <d:sz val="11"/>
        <d:rFont val="Calibri"/>
      </d:rPr>
      <d:t xml:space="preserve">https://members.wto.org/crnattachments/2024/TBT/JPN/24_05753_00_e.pdf
https://members.wto.org/crnattachments/2024/TBT/JPN/24_05753_01_e.pdf
https://www.meti.go.jp/policy/netsecurity/IoT_policy.html
</d:t>
    </d:r>
  </si>
  <si>
    <t>Proyecto de resolución "Por la cual se establece el Programa de inspección en puntos de origen habilitados para las exportaciones por vía marítima de flor cortada, follaje y fruta fresca desde el territorio colombiano" (Draft Resolution establishing the inspection programme at authorized points of origin for exports by sea of cut flowers, foliage and fresh fruit from Colombian territory)</t>
  </si>
  <si>
    <t>The notified draft Resolution establishes the inspection programme at authorized points of origin for exports by sea of cut flowers, foliage and fresh fruit from Colombian territory.</t>
  </si>
  <si>
    <t>Cut flowers, foliage and fresh fruit</t>
  </si>
  <si>
    <t>08 - EDIBLE FRUIT AND NUTS; PEEL OF CITRUS FRUIT OR MELONS; 0604 - Foliage, branches and other parts of plants, without flowers or flower buds, and grasses, mosses and lichens, of a kind suitable for bouquets or for ornamental purposes, fresh, dried, dyed, bleached, impregnated or otherwise prepared; 0603 - Cut flowers and flower buds of a kind suitable for bouquets or for ornamental purposes, fresh, dried, dyed, bleached, impregnated or otherwise prepared</t>
  </si>
  <si>
    <d:r xmlns:d="http://schemas.openxmlformats.org/spreadsheetml/2006/main">
      <d:rPr>
        <d:sz val="11"/>
        <d:rFont val="Calibri"/>
      </d:rPr>
      <d:t xml:space="preserve">https://members.wto.org/crnattachments/2024/SPS/COL/24_05743_00_s.pdf
https://www.sucop.gov.co/entidades/ica/Normativa?IDNorma=17736</d:t>
    </d:r>
  </si>
  <si>
    <t>Propuesta de Modificación del Decreto N°231 de 2000, del Ministerio de Transportes y Telecomunicaciones, Subsecretaría de Transportes (Draft amendment to Decree No. 231 of 2000 of the Ministry of Transport and Telecommunications, Under-Secretariat for Transport) (5 pages, in Spanish)</t>
  </si>
  <si>
    <t xml:space="preserve">It has been deemed necessary to amend Ministry of Transport and Telecommunications Decree No. 231 of 2000 establishing an obligation for riders and passengers of certain vehicles to wear a helmet, in order to: 1. Update the regulations (eliminating the Japanese regulation and updating the European regulation to "Regulation No. 22 - Rev. 5 - 06 series of amendment"); 2. Remove the reference to lot numbers; 3. Stipulate that accreditation must be based on documentation in compliance with the regulations in force at the time of application; 4. Lay down an obligation to submit factory plans, when these are not included in the background information to be presented; 5. Require the submission of a test report and factory background information alongside the international certification, when accreditation is based on the United Nations Regulation; G/TBT/N/CHL/700 - 2 -   6. Establish minimum requirements for the content of the instruction manual and provide for the publication of the manual on the website of the Ministry of Transport and Telecommunications; 7. Set out an obligation to certify the service life of the helmet by means of a document issued by the helmet manufacturer; 8. Require re-accreditation in cases where accreditation was granted five or more years previously.</t>
  </si>
  <si>
    <t>Protective helmets to be worn by all riders and passengers of motorcycles, scooters, mopeds, three- or four-wheeled off-road motorcycles and other similar motorized two- or three-wheeled vehicles</t>
  </si>
  <si>
    <t>650610 - Safety headgear, whether or not lined or trimmed</t>
  </si>
  <si>
    <t>13.340.20 - Head protective equipment</t>
  </si>
  <si>
    <d:r xmlns:d="http://schemas.openxmlformats.org/spreadsheetml/2006/main">
      <d:rPr>
        <d:sz val="11"/>
        <d:rFont val="Calibri"/>
      </d:rPr>
      <d:t xml:space="preserve">https://members.wto.org/crnattachments/2024/TBT/CHL/24_05734_00_s.pdf</d:t>
    </d:r>
  </si>
  <si>
    <t>Resolución 11088 del 22 de agosto de 2024 "Por medio de la cual se establecen los requisitos fitosanitarios para la importación a Colombia de semillas de col (Brassica oleracea L.) originarias de la República de Turquía" (Resolution No. 11088 of 22 August 2024 establishing phytosanitary requirements for the importation into Colombia of cabbage (Brassica oleracea L.) seeds from the Republic of Türkiye) The Republic of Colombia hereby advises that it has issued Resolution No. 11088 of 22 August 2024 establishing phytosanitary requirements for the importation into Colombia of cabbage (Brassica oleracea L.) seeds from the Republic of Türkiye, which was published in Official Journal No. 52.857 of 23 August 2024 and entered into force the same day. https://www.ica.gov.co/getattachment/7b0565c7-6032-4904-91ea-e1917bb46b16/2024R00011088.aspx https://members.wto.org/crnattachments/2024/SPS/COL/24_05712_00_s.pdf</t>
  </si>
  <si>
    <t>Semillas de col (Brassica oleracea L.)</t>
  </si>
  <si>
    <t>120991 - Vegetable seeds, for sowing; 120991 - Vegetable seeds, for sowing</t>
  </si>
  <si>
    <t>Plant health; Adoption/publication/entry into force of reg.; Plant diseases; Plant diseases; Plant health</t>
  </si>
  <si>
    <d:r xmlns:d="http://schemas.openxmlformats.org/spreadsheetml/2006/main">
      <d:rPr>
        <d:sz val="11"/>
        <d:rFont val="Calibri"/>
      </d:rPr>
      <d:t xml:space="preserve">https://members.wto.org/crnattachments/2024/SPS/COL/24_05712_00_s.pdf
https://www.ica.gov.co/getattachment/7b0565c7-6032-4904-91ea-e1917bb46b16/2024R00011088.aspx</d:t>
    </d:r>
  </si>
  <si>
    <t>Resolución 11087 del 22 de agosto de 2024 "Por medio de la cual se establecen los requisitos sanitarios para la importación a Colombia de huevos fértiles procedentes de la República Argentina" (Resolution No. 11087, of 22 August 2024, establishing the sanitary requirements for the importation into Colombia of fertile eggs from the Argentine Republic) The Republic of Colombia hereby advises that it has issued Resolution No. 11087, of 22 August 2024, establishing the sanitary requirements for the importation into Colombia of fertile eggs from the Argentine Republic, which was published in Official Journal No. 52.857 of 23 August 2024 and entered into force the same day. https://www.ica.gov.co/getattachment/7461cbca-4c88-4c12-81c8-60101875e536/2024R00011087.aspx https://members.wto.org/crnattachments/2024/SPS/COL/24_05711_00_s.pdf</t>
  </si>
  <si>
    <t>Huevos fértiles</t>
  </si>
  <si>
    <t>040711 - Fertilised eggs for incubation, of domestic fowls; 040719 - Fertilised birds' eggs for incubation (excl. of domestic fowls); 040711 - Fertilised eggs for incubation, of domestic fowls; 040719 - Fertilised birds' eggs for incubation (excl. of domestic fowls)</t>
  </si>
  <si>
    <t>Animal health; Adoption/publication/entry into force of reg.; Animal diseases; Animal diseases; Animal health</t>
  </si>
  <si>
    <d:r xmlns:d="http://schemas.openxmlformats.org/spreadsheetml/2006/main">
      <d:rPr>
        <d:sz val="11"/>
        <d:rFont val="Calibri"/>
      </d:rPr>
      <d:t xml:space="preserve">https://members.wto.org/crnattachments/2024/SPS/COL/24_05711_00_s.pdf
https://www.ica.gov.co/getattachment/7461cbca-4c88-4c12-81c8-60101875e536/2024R00011087.aspx</d:t>
    </d:r>
  </si>
  <si>
    <t>Costa Rican Technical Regulation (RTCR) No. 482/2015: Electrical products. Household refrigerators and freezers using hermetic motor-driven compressors. Energy efficiency specifications</t>
  </si>
  <si>
    <t xml:space="preserve">The normative equivalence between RTCR No. 482/2015 "Electrical products. Household refrigerators and freezers using hermetic motor-driven compressors. Energy efficiency  1 This information can be provided by including a website address, a PDF attachment, or other information on where the text of the final measure/change to the measure/interpretative guidance can be obtained. G/TBT/N/CRI/157/Add.3 - 2 -   specifications", adopted by Decree No. 40510, and Central American Technical Regulation (RTCA) No. 97.01.81:22 "Electrical products. Household refrigerators and freezers. Energy efficiency specifications", adopted by Decree No. 44418, is approved, as requested by the company Sistemas Logísticos y Corporativos, Sociedad Anónima. __________</t>
  </si>
  <si>
    <t>97.040.30 ;</t>
  </si>
  <si>
    <t>97.040.30 - Domestic refrigerating appliances; 97.040.30 - Domestic refrigerating appliances</t>
  </si>
  <si>
    <d:r xmlns:d="http://schemas.openxmlformats.org/spreadsheetml/2006/main">
      <d:rPr>
        <d:sz val="11"/>
        <d:rFont val="Calibri"/>
      </d:rPr>
      <d:t xml:space="preserve">https://members.wto.org/crnattachments/2024/TBT/CRI/24_05719_00_s.pdf
</d:t>
    </d:r>
  </si>
  <si>
    <t>Regulation Concerning The Subjection Of Wooden Package Materials To Heat Treatment Process And Their Marking</t>
  </si>
  <si>
    <t>Regulation Concerning The Subjection Of Wooden Package Materials To Heat Treatment Process And Their Marking, which was notified through G/TBT/N/TUR/206 (25 January 2023), was now adopted and published in the Official Gazette dated 26 July 2024 and numbered 32613.Articles 1, 2 and 3, the seventh paragraph of Article 5, subparagraphs (a) and (b) of the first paragraph of Article 14 and subparagraphs (3) and (4) of paragraph (c), subparagraph (a) and the fifth paragraph of the first paragraph of Article 16, Articles 24 and 25 shall enter into force on 1/1/2025. The other provisions shall enter into force on 1/7/2025.The regulation is available through "https://mevzuat.gov.tr/mevzuat?MevzuatNo=40877&amp;MevzuatTur=7&amp;MevzuatTertip=5</t>
  </si>
  <si>
    <t>Wood Packaging Material</t>
  </si>
  <si>
    <t>55.040 - Packaging materials and accessories; 55.040 - Packaging materials and accessories</t>
  </si>
  <si>
    <t>Wood packaging; Wood packaging</t>
  </si>
  <si>
    <t>Central American Technical Regulation (RTCA) No. 23.01.78:00: Electrical Products. Inverter split-type, free air discharge, non-ducted air conditioners with variable refrigerant flow. Energy efficiency specifications.</t>
  </si>
  <si>
    <t xml:space="preserve">Pursuant to Executive Decree No. 44037-MINAE, Supplementary Regulations for the Implementation of Central American Technical Regulation (RTCA) No. 23.01.78:20: Electrical  1 This information can be provided by including a website address, a PDF attachment, or other information on where the text of the final measure/change to the measure/interpretative guidance can be obtained. G/TBT/N/CRI/189/Add.23 - 2 -   Products. Inverter split-type, free air discharge, non-ducted air conditioners with variable refrigerant flow. Energy efficiency specifications, and Executive Decree No. 43616-COMEX-MEIC-MINAE publishing Resolution No. 451-2021 (COMIECO-XCVIII), of 17 December 2021, and the Annex thereto: Central American Technical Regulation (RTCA) No. 23.01.78:20: Electrical Products. Inverter split-type, free air discharge air conditioners with variable refrigerant flow, and recital (1) of the notified text, the normative equivalence request submitted by the company HI TEC SOCIEDAD ANÓNIMA, corporate ID No. 3-101-220654, has been approved for AHRI Standard 210/240-2017, "Performance Rating of Unitary Air-conditioning &amp; Air-source Heat Pump Equipment" and the following certification number: AHRI Certified Reference Number: AHRI 201754423 __________</t>
  </si>
  <si>
    <t>Air conditioners</t>
  </si>
  <si>
    <t>8415 - Air conditioning machines comprising a motor-driven fan and elements for changing the temperature and humidity, incl. those machines in which the humidity cannot be separately regulated; parts thereof; 8415 - Air conditioning machines comprising a motor-driven fan and elements for changing the temperature and humidity, incl. those machines in which the humidity cannot be separately regulated; parts thereof</t>
  </si>
  <si>
    <t>23.120 - Ventilators. Fans. Air-conditioners; 23.120 - Ventilators. Fans. Air-conditioners</t>
  </si>
  <si>
    <d:r xmlns:d="http://schemas.openxmlformats.org/spreadsheetml/2006/main">
      <d:rPr>
        <d:sz val="11"/>
        <d:rFont val="Calibri"/>
      </d:rPr>
      <d:t xml:space="preserve">https://members.wto.org/crnattachments/2024/TBT/CRI/final_measure/24_05727_00_s.pdf</d:t>
    </d:r>
  </si>
  <si>
    <t>Wireless Telegraphy Regulations (Exemption from licensing) (Amendment) 5784-2024</t>
  </si>
  <si>
    <t>Israel's Ministry of Communication proposed a new amendment to the Wireless Telegraphy Regulations. The regulations set the requirements for the manufacture, trade, installation, operation or possession of a wireless device. The proposed amendment expands the exemption from import licensing for the following wireless devices as detailed in Regulation 2 : Household or office projectors, complying with the Radio Equipment Directive (2014/53/EU) and bearing a CE mark;Gaming Console, complying with the Radio Equipment Directive (2014/53/EU) and bearing a CE mark;Wireless chargers, complying with the Radio Equipment Directive (2014/53/EU) and bearing a CE mark;Cochlear implants (hearing aid).</t>
  </si>
  <si>
    <t>Wireless device (HS code(s): 85176); (ICS code(s): 33.060.99; 33.120)</t>
  </si>
  <si>
    <t>85176 - - Other apparatus for transmission or reception of voice, images or other data, including apparatus for communication in a wired or wireless network (such as a local or wide area network):</t>
  </si>
  <si>
    <t>33.060.99 - Other equipment for radiocommunications; 33.120 - Components and accessories for telecommunications equipment</t>
  </si>
  <si>
    <t>Harmonization (TBT); Reducing trade barriers and facilitating trade (TBT); Cost saving and productivity enhancement (TBT)</t>
  </si>
  <si>
    <d:r xmlns:d="http://schemas.openxmlformats.org/spreadsheetml/2006/main">
      <d:rPr>
        <d:sz val="11"/>
        <d:rFont val="Calibri"/>
      </d:rPr>
      <d:t xml:space="preserve">https://members.wto.org/crnattachments/2024/TBT/ISR/24_05730_00_x.pdf
https://members.wto.org/crnattachments/2024/TBT/ISR/24_05730_01_x.pdf
https://members.wto.org/crnattachments/2024/TBT/ISR/24_05730_02_x.pdf</d:t>
    </d:r>
  </si>
  <si>
    <t>Resolución 11085 del 22 de agosto de 2024 "Por medio de la cual se establecen los requisitos fitosanitarios para la importación a Colombia de avispitas de Togo (Phymastichus coffea La Salle) de origen y procedencia Hawái" (Resolution No. 11085 of 22 August 2024 establishing phytosanitary requirements for the importation into Colombia of Togo wasps (Phymastichus coffea La Salle) originating in and coming from Hawaii) The Republic of Colombia hereby advises that it has issued Resolution No. 11085 of 22 August 2024 establishing phytosanitary requirements for the importation into Colombia of Togo wasps (Phymastichus coffea La Salle) originating in and coming from Hawaii, which was published in Official Journal No. 52.857 of 23 August 2024 and entered into force the same day. https://www.ica.gov.co/getattachment/57f879cf-d5fc-4ce2-80c2-d7795976b363/2024R00011085.aspx https://members.wto.org/crnattachments/2024/SPS/COL/24_05709_00_s.pdf</t>
  </si>
  <si>
    <t>Avispitas de Togo (Phymastichus coffea La Salle)</t>
  </si>
  <si>
    <t>0901 - Coffee, whether or not roasted or decaffeinated; coffee husks and skins; coffee substitutes containing coffee in any proportion; 0901 - Coffee, whether or not roasted or decaffeinated; coffee husks and skins; coffee substitutes containing coffee in any proportion</t>
  </si>
  <si>
    <t>Adoption/publication/entry into force of reg.; Plant health; Pests; Pest- or Disease- free Regions / Regionalization; Pests; Pest- or Disease- free Regions / Regionalization; Plant health</t>
  </si>
  <si>
    <d:r xmlns:d="http://schemas.openxmlformats.org/spreadsheetml/2006/main">
      <d:rPr>
        <d:sz val="11"/>
        <d:rFont val="Calibri"/>
      </d:rPr>
      <d:t xml:space="preserve">https://members.wto.org/crnattachments/2024/SPS/COL/24_05709_00_s.pdf
https://www.ica.gov.co/getattachment/57f879cf-d5fc-4ce2-80c2-d7795976b363/2024R00011085.aspx</d:t>
    </d:r>
  </si>
  <si>
    <t xml:space="preserve">Pursuant to Executive Decree No. 44037-MINAE, Supplementary Regulations for the Implementation of Central American Technical Regulation (RTCA) No. 23.01.78:20: Electrical  1 This information can be provided by including a website address, a PDF attachment, or other information on where the text of the final measure/change to the measure/interpretative guidance can be obtained. G/TBT/N/CRI/189/Add.21 - 2 -   Products. Inverter split-type, free air discharge, non-ducted air conditioners with variable refrigerant flow. Energy efficiency specifications, and Executive Decree No. 43616-COMEX-MEIC-MINAE publishing Resolution No. 451-2021 (COMIECO-XCVIII), of 17 December 2021, and the Annex thereto: Central American Technical Regulation (RTCA) No. 23.01.78:20: Electrical Products. Inverter split-type, free air discharge air conditioners with variable refrigerant flow, and recital (1) of the notified text, the normative equivalence request submitted by the company REFRIMUNDO SOCIEDAD ANÓNIMA, corporate ID No. 3-101-377412, has been approved for AHRI Standard 210/240-2017, "Performance Rating of Unitary Air-conditioning &amp; Air-source Heat Pump Equipment" and the following certification number: AHRI Certified Reference Number: AHRI 211126517 __________</t>
  </si>
  <si>
    <d:r xmlns:d="http://schemas.openxmlformats.org/spreadsheetml/2006/main">
      <d:rPr>
        <d:sz val="11"/>
        <d:rFont val="Calibri"/>
      </d:rPr>
      <d:t xml:space="preserve">https://members.wto.org/crnattachments/2024/TBT/CRI/final_measure/24_05725_00_s.pdf</d:t>
    </d:r>
  </si>
  <si>
    <t xml:space="preserve">The proposed amendments seek to:_x000D_
1. Revise and establish the standards and specifications of milk formulas and formulas;2. Revise the maximum residual limits of pesticides for agricultural products.</t>
  </si>
  <si>
    <d:r xmlns:d="http://schemas.openxmlformats.org/spreadsheetml/2006/main">
      <d:rPr>
        <d:sz val="11"/>
        <d:rFont val="Calibri"/>
      </d:rPr>
      <d:t xml:space="preserve">https://members.wto.org/crnattachments/2024/SPS/KOR/24_05661_00_x.pdf</d:t>
    </d:r>
  </si>
  <si>
    <t>Phytolon Ltd.; Filing of Color Additive Petition; Notification of Petition</t>
  </si>
  <si>
    <t>Notification G/SPS/N/USA/3467, dated 14 August 2024, is null and void.</t>
  </si>
  <si>
    <t>67 - FOOD TECHNOLOGY; 67 - Food technology</t>
  </si>
  <si>
    <t>Food safety; Human health; Food safety; Human health</t>
  </si>
  <si>
    <t>Fuels Regulatory Streamlining Amendments</t>
  </si>
  <si>
    <t>Proposed rule - This action proposes revisions, updates, and corrections to EPA's streamlined fuel quality regulations. This action does not propose to change the stringency of the existing fuel quality standards. If anyone contacts EPA requesting a public hearing by 4 September 2024, EPA will hold a virtual public hearing on 12 September 2024. The hearing will begin at 9:00 a.m.Eastern Daylight Time (EDT) and end when all parties who wish to speak have had an opportunity to do so. All hearing attendees (including even those who do not intend to provide testimony) should register for the virtual public hearing by 4 September 2024. Information on the status of the hearing and how to register can be found at https://www.epa.gov/diesel-fuel-standards/fuels-regulatory-streamlining.  Refer to the SUPPLEMENTARY INFORMATION section of the full-text for additional information on the public hearing. </t>
  </si>
  <si>
    <t>Fuels; Quality (ICS code(s): 03.120); Environmental protection (ICS code(s): 13.020); Fuels (ICS code(s): 75.160)</t>
  </si>
  <si>
    <t>03.120 - Quality; 13.020 - Environmental protection; 75.160 - Fuels</t>
  </si>
  <si>
    <t>Protection of the environment (TBT); Quality requirements (TBT); Cost saving and productivity enhancement (TBT)</t>
  </si>
  <si>
    <d:r xmlns:d="http://schemas.openxmlformats.org/spreadsheetml/2006/main">
      <d:rPr>
        <d:sz val="11"/>
        <d:rFont val="Calibri"/>
      </d:rPr>
      <d:t xml:space="preserve">https://members.wto.org/crnattachments/2024/TBT/USA/24_05716_00_e.pdf</d:t>
    </d:r>
  </si>
  <si>
    <t>Partial Amendment Notice (Draft) of Standards and Specifications for Health Functional Foods</t>
  </si>
  <si>
    <t xml:space="preserve">The proposed amendments seek to:_x000D_
A. Amend precautions for intake, specifications, and daily intake amount, etc. for nine functional raw ingredients, such as banaba leaf extracts[See Draft 3) of 1-10，1-14，2-4，2-12，2-13， 2-22，2-29，2-54. and 1), 2), 3) of 2-33 in Chapter 3.]_x000D_
- Reflect the results of the re-evaluation conducted to ensure safety and functionality in accordance with Article 15-2 of the Health Functional Foods Act_x000D_
B. Expand manufacturing methods for notified functional raw materials[See Draft 1) of 2-29, 2-54 in Chapter 3.]</t>
  </si>
  <si>
    <t>Health functional food products</t>
  </si>
  <si>
    <d:r xmlns:d="http://schemas.openxmlformats.org/spreadsheetml/2006/main">
      <d:rPr>
        <d:sz val="11"/>
        <d:rFont val="Calibri"/>
      </d:rPr>
      <d:t xml:space="preserve">https://members.wto.org/crnattachments/2024/SPS/KOR/24_05609_00_x.pdf</d:t>
    </d:r>
  </si>
  <si>
    <t xml:space="preserve">Draft Regulatory Guides: Criteria for Power Systems for Nuclear 
Power Plants and Criteria for the Protection of Class 1E Power Systems 
and Equipment for Nuclear Power Plants</t>
  </si>
  <si>
    <t>Draft guides; request for comment - The U.S. Nuclear Regulatory Commission (NRC) is issuing for public comment two related draft Regulatory Guides (DGs) namely DG-1420, "Criteria for Power Systems for Nuclear Power Plants," and DG-1354, “Criteria for the Protection of Class 1E Power Systems and Equipment for Nuclear Power Plants.” DG-1420 is proposed Revision 4 to Regulatory Guide (RG) 1.32 of the same name and DG-1354 is newly proposed Revision 0 of RG 1.238. DG-1420 describes an approach that is acceptable to the NRC staff to meet regulatory requirements for the design, operation, and testing of electric power systems in nuclear power plants. DG-1354 describes an approach that is acceptable to the NRC staff for use in complying with NRC regulations that address the protection of Class 1E power systems and equipment at nuclear power plants.</t>
  </si>
  <si>
    <t>Power systems for nuclear power plants; Nuclear power plants. Safety (ICS code(s): 27.120.20); Power transmission and distribution networks (ICS code(s): 29.240)</t>
  </si>
  <si>
    <t>27.120.20 - Nuclear power plants. Safety; 29.240 - Power transmission and distribution networks</t>
  </si>
  <si>
    <d:r xmlns:d="http://schemas.openxmlformats.org/spreadsheetml/2006/main">
      <d:rPr>
        <d:sz val="11"/>
        <d:rFont val="Calibri"/>
      </d:rPr>
      <d:t xml:space="preserve">https://members.wto.org/crnattachments/2024/TBT/USA/24_05717_00_e.pdf</d:t>
    </d:r>
  </si>
  <si>
    <t>Central American Technical Regulation (RTCA) No. 23.01.78:00: Electrical products. Split-type, free-flow, ductless inverter air conditioners with variable refrigerant flow. Energy efficiency specifications</t>
  </si>
  <si>
    <t>On the basis of Executive Decree No. 44037-MINAE on Supplementary Regulations for the Implementation of RTCA No. 23.01.78:20: Electrical Products. Split-type, free-flow, ductless inverter air conditioners with variable refrigerant flow. Energy efficiency specifications and Executive Decree No. 43616-COMEX-MEIC-MINAE publishing Resolution No. 451-2021 (COMIECO-XCVIII) dated 17 December 2021 and its Annex: RTCA No. 23.01.78:20: Electrical Products. Split-type, free-flow inverter air conditioners with variable refrigerant flow, and in accordance with the first recital of this Resolution, approval is given to the normative equivalence requested by the company Multiclima, Sociedad Anónima (corporate identification No. 3-101-522356) in respect of Air-Conditioning, Heating, and Refrigeration Institute (AHRI) Standard No. 210-240-2017 "Performance Rating of Unitary Air-conditioning and Air-source Heat Pump Equipment" and the following certification numbers: AHRI Certified Reference Number: AHRI 207765974 AHRI Certified Reference Number: AHRI 207765975 AHRI Certified Reference Number: AHRI 207765976 AHRI Certified Reference Number: AHRI 207765968 AHRI Certified Reference Number: AHRI 207765967 __________</t>
  </si>
  <si>
    <d:r xmlns:d="http://schemas.openxmlformats.org/spreadsheetml/2006/main">
      <d:rPr>
        <d:sz val="11"/>
        <d:rFont val="Calibri"/>
      </d:rPr>
      <d:t xml:space="preserve">https://members.wto.org/crnattachments/2024/TBT/CRI/final_measure/24_05723_00_s.pdf
</d:t>
    </d:r>
  </si>
  <si>
    <t>Analysis and test protocol for the light pollution of luminaires and/or floodlights for outdoor lighting PCL No. 1:2024</t>
  </si>
  <si>
    <t xml:space="preserve">- __________  1 This information can be provided by including a website address, a PDF attachment, or other information on where the text of the final measure/change to the measure/interpretative guidance can be obtained.</t>
  </si>
  <si>
    <t>Luminarias y proyectores para uso en los tipos de alumbrado de exteriores.</t>
  </si>
  <si>
    <t>29.140.40 - Luminaires; 29.140.40 - Luminaires; 91.160 - Lighting; 91.160 - Lighting</t>
  </si>
  <si>
    <d:r xmlns:d="http://schemas.openxmlformats.org/spreadsheetml/2006/main">
      <d:rPr>
        <d:sz val="11"/>
        <d:rFont val="Calibri"/>
      </d:rPr>
      <d:t xml:space="preserve">https://members.wto.org/crnattachments/2024/TBT/CHL/final_measure/24_05708_00_s.pdf
https://www.bcn.cl/leychile/navegar?i=1205926</d:t>
    </d:r>
  </si>
  <si>
    <t>Notification G/SPS/N/USA/3468, dated 14 August 2024, is null and void.</t>
  </si>
  <si>
    <t>Human health; Food safety; Food safety; Human health</t>
  </si>
  <si>
    <t>Energy Conservation Program: Energy Conservation Standards for Commercial Refrigerators, Freezers, and Refrigerator-Freezers</t>
  </si>
  <si>
    <t xml:space="preserve">On 10 October 2023, the U.S. Department of Energy ("DOE'') published a notice of proposed rulemaking ("NOPR'') (notified as G/TBT/N/USA/858/Rev.1), in which DOE proposed new and amended energy conservation standards for commercial refrigerators, freezers, and refrigerator-freezers. In this notification of data availability ("NODA''), DOE is providing updated analytical results that reflect updates to the analysis that DOE is considering based on feedback received in response to the 10 October 2023, NOPR. DOE requests comments, data, and information regarding the updated analyses.DOE will accept comments, data, and information regarding this NODA no later than 27 September 2024.89 Federal Register (FR) 68788, Title 10 Code of Federal Regulations (CFR) Part 430_x000D_
https://www.govinfo.gov/content/pkg/FR-2024-08-28/html/2024-19072.htm_x000D_
https://www.govinfo.gov/content/pkg/FR-2024-08-28/pdf/2024-19072.pdfThis NODA and the NOPR notified as G/TBT/N/USA/858/Rev.1 are identified by Docket Number EERE-2017-BT-STD-0007. The Docket Folder is available on Regulations.gov at https://www.regulations.gov/docket/EERE-2017-BT-STD-0007/document and provides access to primary and supporting documents as well as comments received. Documents are also accessible from Regulations.gov by searching the Docket Number. WTO Members and their stakeholders are asked to submit comments to the USA TBT Enquiry Point by or before 4pmEastern Time on 27 September 2024. Comments received by the USA TBT Enquiry Point from WTO Members and their stakeholders will be shared with DOE and will also be submitted to the Docket on Regulations.gov if received within the comment period.</t>
  </si>
  <si>
    <t>Commercial refrigeration equipment; Refrigerators, freezers and other refrigerating or freezing equipment, electric or other; heat pumps; parts thereof (excl. air conditioning machines of heading 8415) (HS code(s): 8418); Environmental protection (ICS code(s): 13.020); Commercial refrigerating appliances (ICS code(s): 97.130.20)</t>
  </si>
  <si>
    <t>8415 - Air conditioning machines comprising a motor-driven fan and elements for changing the temperature and humidity, incl. those machines in which the humidity cannot be separately regulated; parts thereof; 8418 - Refrigerators, freezers and other refrigerating or freezing equipment, electric or other; heat pumps; parts thereof (excl. air conditioning machines of heading 8415); 8415 - Air conditioning machines comprising a motor-driven fan and elements for changing the temperature and humidity, incl. those machines in which the humidity cannot be separately regulated; parts thereof; 8418 - Refrigerators, freezers and other refrigerating or freezing equipment, electric or other; heat pumps; parts thereof (excl. air conditioning machines of heading 8415)</t>
  </si>
  <si>
    <t>13.020 - Environmental protection; 97.130 - Shop fittings; 97.130 - Shop fittings; 97.130.20 - Commercial refrigerating appliances; 13.020 - Environmental protection; 97.130.20 - Commercial refrigerating appliances</t>
  </si>
  <si>
    <d:r xmlns:d="http://schemas.openxmlformats.org/spreadsheetml/2006/main">
      <d:rPr>
        <d:sz val="11"/>
        <d:rFont val="Calibri"/>
      </d:rPr>
      <d:t xml:space="preserve">https://members.wto.org/crnattachments/2024/TBT/USA/modification/24_05715_00_e.pdf</d:t>
    </d:r>
  </si>
  <si>
    <t>Proposed Revision of the “Act on Labelling and Advertising of Foods” </t>
  </si>
  <si>
    <t xml:space="preserve">The proposed amendment is to:_x000D_
- Expansion of the scope that can be registered as a voluntary review board and   clarification of meaning through minor wording adjustments.</t>
  </si>
  <si>
    <d:r xmlns:d="http://schemas.openxmlformats.org/spreadsheetml/2006/main">
      <d:rPr>
        <d:sz val="11"/>
        <d:rFont val="Calibri"/>
      </d:rPr>
      <d:t xml:space="preserve">https://members.wto.org/crnattachments/2024/TBT/KOR/24_05729_00_x.pdf</d:t>
    </d:r>
  </si>
  <si>
    <t>Proyecto de Reglamento Técnico sobre Vajilla y/o utensilios de mesa de plástico reutilizables (Draft Technical Regulation on reusable plastic tableware and/or flatware) (29 pages, in Spanish)</t>
  </si>
  <si>
    <t>The notified draft Technical Regulation establishes the technical and labelling requirements to be met in the manufacture of reusable plastic tableware and/or flatware for food and beverages for human consumption, for domestic use, importation, distribution, delivery and marketing under Law No. 30884, which regulates single-use plastic and disposable containers and packaging, to ensure that no microplastic pollution occurs or hazardous substances are produced. It also seeks to prevent and mitigate the risks to and adverse impact on the environment and health within the context of a circular economy, and to reduce information asymmetry in the consumption chain.</t>
  </si>
  <si>
    <t xml:space="preserve">CODE DESCRIPTION 39.16 Monofilament of which any cross-sectional dimension exceeds 1 mm, rods, sticks and profile shapes, whether or not surface-worked but not otherwise worked, of plastics. 39.17 Tubes, pipes and hoses, and fittings therefor (for example, joints, elbows, flanges), of plastics.  - Tubes, pipes and hoses, rigid: 3917.21 - - Of polymers of ethylene:  - - -Other rigid tubes, pipes and hoses of polymers of ethylene. 3917.22.00 - - Tubes, pipes and hoses, rigid: Of polymers of propylene. 3917.23 - - Of polymers of vinyl chloride: G/TBT/N/PER/164 - 2 -   3917.23.90 - - - Other rigid tubes, pipes and hoses of polymers of vinyl chloride.  - - - Other: 3917.29.99 - - - - Other rigid tubes, pipes and hoses of plastics.  - - - Other: 3917.32.99 Other, not reinforced or otherwise combined with other materials, without fittings. 3917.39 - - Other: 3917.39.90 Other tubes, pipes and hoses 39.24 Tableware, kitchenware, other household articles and hygienic or toilet articles, of plastics 3924.10 - Tableware and kitchenware: 3924.10.90 - - Tableware and kitchenware. 3924.90.00 - Other hygienic or toilet articles, of plastics.</t>
  </si>
  <si>
    <t>392490 - Household articles and toilet articles, of plastics (excl. tableware, kitchenware, baths, shower-baths, washbasins, bidets, lavatory pans, seats and covers, flushing cisterns and similar sanitary ware); 392410 - Tableware and kitchenware, of plastics; 3924 - Tableware, kitchenware, other household articles and toilet articles, of plastics (excl. baths, shower-baths, washbasins, bidets, lavatory pans, seats and covers, flushing cisterns and similar sanitary ware); 391739 - Flexible tubes, pipes and hoses, of plastics, reinforced or otherwise combined with other materials (excl. those with a burst pressure of &gt;= 27,6 MPa); 391732 - Flexible tubes, pipes and hoses of plastics, not reinforced or otherwise combined with other materials, without fittings; 391729 - Rigid tubes, pipes and hoses, of plastics (excl. those of polymers of ethylene, propylene and vinyl chloride); 391723 - Rigid tubes, pipes and hoses, of polymers of vinyl chloride; 391722 - Rigid tubes, pipes and hoses of polymers of propylene; 391721 - Rigid tubes, pipes and hoses, of polymers of ethylene; 3917 - Tubes, pipes and hoses, and fittings therefor, e.g. joints, elbows, flanges, of plastics; 3916 - Monofilament of which any cross-sectional dimension &gt; 1 mm, rods, sticks and profile shapes, of plastics, whether or not surface-worked but not further worked</t>
  </si>
  <si>
    <t>83.140 - Rubber and plastics products; 97.040 - Kitchen equipment</t>
  </si>
  <si>
    <t>Prevention of deceptive practices and consumer protection (TBT); Protection of human health or safety (TBT); Protection of the environment (TBT)</t>
  </si>
  <si>
    <d:r xmlns:d="http://schemas.openxmlformats.org/spreadsheetml/2006/main">
      <d:rPr>
        <d:sz val="11"/>
        <d:rFont val="Calibri"/>
      </d:rPr>
      <d:t xml:space="preserve">https://members.wto.org/crnattachments/2024/TBT/PER/24_05705_00_s.pdf</d:t>
    </d:r>
  </si>
  <si>
    <t xml:space="preserve">Pursuant to Executive Decree No. 44037-MINAE, Supplementary Regulations for the Implementation of Central American Technical Regulation (RTCA) No. 23.1.78:20: Electrical  1 This information can be provided by including a website address, a PDF attachment, or other information on where the text of the final measure/change to the measure/interpretative guidance can be obtained. G/TBT/N/CRI/189/Add.22 - 2 -   Products. Inverter split-type, free air discharge, non-ducted air conditioners with variable refrigerant flow. Energy efficiency specifications, and Executive Decree No. 43616-COMEX-MEIC-MINAE publishing Resolution No. 451-2021 (COMIECO-XCVIII), of 17 December 2021, and the Annex thereto: Central American Technical Regulation (RTCA) No. 23.01.78:20: Electrical Products. Inverter split-type, free air discharge air conditioners with variable refrigerant flow, and recital (1) of the notified text, the normative equivalence request submitted by the company CLIMA IDEAL SOCIEDAD ANÓNIMA, corporate ID No. 3-101-022826, has been approved for AHRI Standard 210/240-2017, "Performance Rating of Unitary Air-conditioning &amp; Air-source Heat Pump Equipment" and the following certification numbers: AHRI Certified Reference Number: AHRI 207826658 AHRI Certified Reference Number: AHR 207614949 __________</t>
  </si>
  <si>
    <d:r xmlns:d="http://schemas.openxmlformats.org/spreadsheetml/2006/main">
      <d:rPr>
        <d:sz val="11"/>
        <d:rFont val="Calibri"/>
      </d:rPr>
      <d:t xml:space="preserve">https://members.wto.org/crnattachments/2024/TBT/CRI/final_measure/24_05726_00_s.pdf</d:t>
    </d:r>
  </si>
  <si>
    <t>Costa Rican Technical Regulation (RTCR) No. 482:2015: Electrical products. Household refrigerators and freezers using hermetic motor-driven compressors. Energy efficiency specifications</t>
  </si>
  <si>
    <t>Pursuant to Decree No. 40510, Costa Rican Technical Regulation (RTCR) No. 482:2015: "Electrical products. Household refrigerators and freezers using hermetic, motor-driven compressors. Energy efficiency specifications", and Decree No. 44418, Central American Technical Regulation (RTCA) No. 97.01.81:22: "Electrical products. Household refrigerators and freezers. Energy efficiency specifications", and the provisions of recital (1) of the notified text, the normative equivalence request submitted by the company DISTRIBUIDORA JIVIS SOCIEDAD ANÓNIMA, corporate ID No. 3-101-055444, is approved. __________</t>
  </si>
  <si>
    <d:r xmlns:d="http://schemas.openxmlformats.org/spreadsheetml/2006/main">
      <d:rPr>
        <d:sz val="11"/>
        <d:rFont val="Calibri"/>
      </d:rPr>
      <d:t xml:space="preserve">https://members.wto.org/crnattachments/2024/TBT/CRI/final_measure/24_05720_00_s.pdf
</d:t>
    </d:r>
  </si>
  <si>
    <t>Resolución 11086 del 22 de agosto de 2024 "Por medio de la cual se establecen los requisitos fitosanitarios para la importación a Colombia de flor seca de Jamaica (Hibiscus sabdariffa) de origen y procedencia Nigeria" (Resolution No. 11086 of 22 August 2024 establishing phytosanitary requirements for the importation into Colombia of dried roselle (Hibiscus sabdariffa) originating in and coming from Nigeria) The Republic of Colombia hereby advises that it has issued Resolution No. 11086 of 22 August 2024 establishing phytosanitary requirements for the importation into Colombia of dried roselle (Hibiscus sabdariffa) originating in and coming from Nigeria, which was published in Official Journal No. 52.857 of 23 August 2024 and entered into force the same day. https://www.ica.gov.co/getattachment/f2dbdcf5-9e79-4e4e-8bf2-8447e4bf50f3/2024R00011086.aspx https://members.wto.org/crnattachments/2024/SPS/COL/24_05710_00_s.pdf</t>
  </si>
  <si>
    <t>Flor seca de Jamaica (Hibiscus sabdariffa</t>
  </si>
  <si>
    <t>060390 - Dried, dyed, bleached, impregnated or otherwise prepared cut flowers and buds, of a kind suitable for bouquets or for ornamental purposes; 060390 - Dried, dyed, bleached, impregnated or otherwise prepared cut flowers and buds, of a kind suitable for bouquets or for ornamental purposes</t>
  </si>
  <si>
    <d:r xmlns:d="http://schemas.openxmlformats.org/spreadsheetml/2006/main">
      <d:rPr>
        <d:sz val="11"/>
        <d:rFont val="Calibri"/>
      </d:rPr>
      <d:t xml:space="preserve">https://members.wto.org/crnattachments/2024/SPS/COL/24_05710_00_s.pdf
https://www.ica.gov.co/getattachment/f2dbdcf5-9e79-4e4e-8bf2-8447e4bf50f3/2024R00011086.aspx</d:t>
    </d:r>
  </si>
  <si>
    <t>Pursuant to Executive Decree No. 44037-MINAE, Supplementary Regulations for the Implementation of Central American Technical Regulation (RTCA) No. 23.01.78:20: Electrical Products. Inverter split-type, free air discharge, non-ducted air conditioners with variable refrigerant flow. Energy efficiency specifications, and Executive Decree No. 43616-COMEX-MEIC-MINAE publishing Resolution No. 451-2021 (COMIECO-XCVIII), of 17 December 2021, and the Annex thereto: Central American Technical Regulation (RTCA) No. 23.01.78:20: Electrical Products. Inverter split-type, free air discharge air conditioners with variable refrigerant flow, and recital (1) of the notified text, the normative equivalence request submitted by the company CONSTRUCTORA, CONSULTORIA Y DESARROLLADORA ECOAIRE SOCIEDAD ANÓNIMA, corporate ID No. 3-101-536983, has been approved for AHRI Standard 210/240-2017, "Performance Rating of Unitary Air-conditioning &amp; Air-source Heat Pump Equipment" and the following certification number: AHRI Certified Reference Number: AHRI 207348503 __________</t>
  </si>
  <si>
    <d:r xmlns:d="http://schemas.openxmlformats.org/spreadsheetml/2006/main">
      <d:rPr>
        <d:sz val="11"/>
        <d:rFont val="Calibri"/>
      </d:rPr>
      <d:t xml:space="preserve">https://members.wto.org/crnattachments/2024/TBT/CRI/final_measure/24_05721_00_s.pdf</d:t>
    </d:r>
  </si>
  <si>
    <t xml:space="preserve">Pursuant to Executive Decree No. 44037-MINAE, Supplementary Regulations for the Implementation of Central American Technical Regulation (RTCA) No. 23.01.78:20: Electrical  1 This information can be provided by including a website address, a PDF attachment, or other information on where the text of the final measure/change to the measure/interpretative guidance can be obtained. G/TBT/N/CRI/189/Add.20 - 2 -   Products. Inverter split-type, free air discharge, non-ducted air conditioners with variable refrigerant flow. Energy efficiency specifications, and Executive Decree No. 43616-COMEX-MEIC-MINAE publishing Resolution No. 451-2021 (COMIECO-XCVIII), of 17 December 2021, and the Annex thereto: "Central American Technical Regulation (RTCA) No. 23.01.78:20: Electrical Products. Inverter split-type, free air discharge air conditioners with variable refrigerant flow", and recital (1) of the notified text, the normative equivalence request submitted by the company CONSTRUCTORA, CONSULTORIA Y DESARROLLADORA ECOAIRE SOCIEDAD ANÓNIMA, corporate ID No. 3-101-536983, has been approved for AHRI Standard 210/240-2017, "Performance Rating of Unitary Air-conditioning &amp; Air-source Heat Pump Equipment" and the following certification number: AHRI Certified Reference Number: AHRI 207348503 __________</t>
  </si>
  <si>
    <d:r xmlns:d="http://schemas.openxmlformats.org/spreadsheetml/2006/main">
      <d:rPr>
        <d:sz val="11"/>
        <d:rFont val="Calibri"/>
      </d:rPr>
      <d:t xml:space="preserve">https://members.wto.org/crnattachments/2024/TBT/CRI/final_measure/24_05724_00_s.pdf</d:t>
    </d:r>
  </si>
  <si>
    <t>Supplementary Rules Respecting Nicotine Replacement Therapies Order</t>
  </si>
  <si>
    <t>The Supplementary Rules Respecting Nicotine Replacement Therapies Order (this Order) applies to nicotine replacement therapies (NRTs)s for administration in the oral cavity that are regulated under the Natural Health Products Regulations for use in smoking cessation by adults who smoke. This Order introduces new measures that: Incorporate by reference the List of Nicotine Replacement Therapy Dosage Forms that may be Accessible for Self-selection by Purchasers or Consumers (the List); Prohibit direct public access to dosage forms of NRTs that have a limited history of appropriate use, which are not on the List, by requiring that they be sold by a pharmacist or someone under their supervision and are otherwise inaccessible for self-selection;Require warnings about the addictive nature of nicotine and statements conveying the intended subpopulation (i.e., individuals 18 years of age or older) on product labels and in advertisements;Restrict advertising and promotion that could be appealing to young people or if they convey a use other than the product’s intended use (i.e., smoking cessation); Restrict packaging and labelling that could be appealing to young people; andProhibit persons from manufacturing or selling NRTs that are in certain flavours as outlined in the Order.The Order comes into force immediately upon publication. At this time, NRTs must not be manufactured or sold unless they are compliant with the flavour restrictions set out in the Order and NRTs in dosage forms not on the List must not be sold on a retail basis except by a pharmacist or an individual working under the supervision of a pharmacist. The Order provides a six-month transition period to come into compliance with requirements of the Order that relate to packaging and labelling, and advertising and promotion. In addition, the Order provides for the sale of an NRT that is not labelled or packaged in accordance with the Order if it was labelled prior to the coming into force of the Order, or, if the NRT was imported, it was imported and labelled in accordance with the Natural Health Products Regulations prior to the coming into force of the Order.   </t>
  </si>
  <si>
    <t>Medicaments ICS:11.120.10</t>
  </si>
  <si>
    <d:r xmlns:d="http://schemas.openxmlformats.org/spreadsheetml/2006/main">
      <d:rPr>
        <d:sz val="11"/>
        <d:rFont val="Calibri"/>
      </d:rPr>
      <d:t xml:space="preserve">https://canadagazette.gc.ca/rp-pr/p2/2024/2024-08-28/html/sor-dors169-eng.html (English)
https://canadagazette.gc.ca/rp-pr/p2/2024/2024-08-28/html/sor-dors169-fra.html (French)</d:t>
    </d:r>
  </si>
  <si>
    <t>Partial Amendment Notice (Draft) of Regulations Concerning Approval of Functional Ingredients &amp; Standard and Specifications for Health Functional Foods</t>
  </si>
  <si>
    <t xml:space="preserve">The proposed amendments seek to:_x000D_
A. Rationalize the re-deliberation protocol for functional raw ingredients with a documented review history [see Draft Article 8 (Return of Application Documents) 2.]; newly established_x000D_
- Re-deliberation requested within two years of suspension will only require review of new data</t>
  </si>
  <si>
    <d:r xmlns:d="http://schemas.openxmlformats.org/spreadsheetml/2006/main">
      <d:rPr>
        <d:sz val="11"/>
        <d:rFont val="Calibri"/>
      </d:rPr>
      <d:t xml:space="preserve">https://members.wto.org/crnattachments/2024/SPS/KOR/24_05610_00_x.pdf
https://members.wto.org/crnattachments/2024/SPS/KOR/24_05610_01_x.pdf</d:t>
    </d:r>
  </si>
  <si>
    <t>Given that Article 157 of the General Public Administration Law states that the Administration may, at any time, correct clerical or factual errors and errors of arithmetic, and Article 130 provides that an error shall not invalidate an administrative act, it is appropriate to correct the error identified in recital (1) of Resolution No. 0018-2024-DE on the granting of normative equivalence between AHRI Standard 210/240-2017, "Performance Rating of Unitary Air-conditioning &amp; Air-source Heat Pump Equipment", certification numbers: AHRI Certified Reference Number: AHRI 205920173, AHRI Certified Reference Number: AHRI 205920174, AHRI Certified Reference Number: AHRI 205920175, AHRI Certified Reference Number: AHRI 205961410, AHRI Certified Reference Number: AHRI 205961411, AHRI Certified Reference Number: AHRI 208128252, AHRI Certified Reference Number: AHRI 208128254, AHRI Certified Reference Number: AHRI 208128255, and Resolution No. 451-2021 (COMIECO-XCVIII), of 17 December 2021, and the Annex thereto: "Central American Technical Regulation (RTCA) No. 23.01.78:00: Electrical products. Inverter split-type, free air discharge, non-ducted air conditioners with variable refrigerant flow. Energy efficiency specifications." __________</t>
  </si>
  <si>
    <d:r xmlns:d="http://schemas.openxmlformats.org/spreadsheetml/2006/main">
      <d:rPr>
        <d:sz val="11"/>
        <d:rFont val="Calibri"/>
      </d:rPr>
      <d:t xml:space="preserve">https://members.wto.org/crnattachments/2024/TBT/CRI/final_measure/24_05722_00_s.pdf</d:t>
    </d:r>
  </si>
  <si>
    <t>Revision of the Specifications and Standards for Foods, Food Additives, Etc. Under the Food Sanitation Act</t>
  </si>
  <si>
    <t>Deletion of the use standards for methyl cellulose and modification of the storage standards for dimethyl dicarbonate.</t>
  </si>
  <si>
    <t>Food additives (Methyl Cellulose and Dimethyl Dicarbonate)</t>
  </si>
  <si>
    <d:r xmlns:d="http://schemas.openxmlformats.org/spreadsheetml/2006/main">
      <d:rPr>
        <d:sz val="11"/>
        <d:rFont val="Calibri"/>
      </d:rPr>
      <d:t xml:space="preserve">https://members.wto.org/crnattachments/2024/SPS/JPN/24_05703_00_e.pdf</d:t>
    </d:r>
  </si>
  <si>
    <t>Emergency measures to mitigate the risk of introducing Erwinia amylovora</t>
  </si>
  <si>
    <t>To prevent the introduction of Erwinia amylovora into Japan, MAFF has taken emergency measures to prohibit the import of host plants of E. amylovora (specified in Item 3. of this notification) originated in Azerbaijan based on examination of the relevant documents listed in Item 10.</t>
  </si>
  <si>
    <t>Live plants and plant parts (including fruit, flower and pollen, other than seed) of the following plants: Chaenomelessinensis (syn. Pseudocydoniasinensis);  bridal wreath (Spiraeaprunifolia); medlar (Mespilusgermanica); loquat (Eriobotryajaponica); quince (Cydoniaoblonga); dog rose (RosacaninaAronia; Photinia; Crataegomespilus; Amelanchier; Crataegus; Cotoneaster; Rhaphiolepis; Stranvaesia; Osteomeles; Dichotomanthes; Pyracantha; Docynia; Pyrus; Sorbus; Heteromeles; Peraphyllum; Chaenomeles (syn. ChoenomelesMalus</t>
  </si>
  <si>
    <t>060290 - Live plants, incl. their roots, and mushroom spawn (excl. bulbs, tubers, tuberous roots, corms, crowns and rhizomes, incl. chicory plants and roots, unrooted cuttings and slips, fruit and nut trees, rhododendrons, azaleas and roses); 060220 - Edible fruit or nut trees, shrubs and bushes, whether or not grafted</t>
  </si>
  <si>
    <t>Human health; Food safety; Bacteria</t>
  </si>
  <si>
    <t>Azerbaijan</t>
  </si>
  <si>
    <t>System Safety Assessments</t>
  </si>
  <si>
    <t xml:space="preserve">The FAA is amending certain airworthiness regulations to standardize the criteria for conducting safety assessments for systems, including flight controls and powerplants, installed on transport category airplanes. With this action, the FAA seeks to reduce risk associated with airplane accidents and incidents that have occurred in service, and reduce risk associated with new technology in flight control systems. The intended effect of this rulemaking is to improve aviation safety by making system safety assessment (SSA) certification requirements more comprehensive and consistent.Effective 26 September 2024.89 Federal Register (FR) 68706, Title 14 Code of Federal Regulations (CFR) Part 25_x000D_
https://www.govinfo.gov/content/pkg/FR-2024-08-27/html/2024-18511.htm_x000D_
https://www.govinfo.gov/content/pkg/FR-2024-08-27/pdf/2024-18511.pdfThis final rule and previous actions notified under the symbol G/TBT/N/USA/1952 are identified by Docket Number FAA-2022-1544. The Docket Folder is available on Regulations.gov at https://www.regulations.gov/docket/FAA-2022-1544/document and provides access to primary and supporting documents as well as comments received. Documents are also accessible from Regulations.gov by searching the Docket Number.</t>
  </si>
  <si>
    <t>Aviation system safety assessment; Quality (ICS code(s): 03.120); Domestic safety (ICS code(s): 13.120); Aircraft and space vehicles in general (ICS code(s): 49.020); Aerospace electric equipment and systems (ICS code(s): 49.060); On-board equipment and instruments (ICS code(s): 49.090); Cargo equipment (ICS code(s): 49.120)</t>
  </si>
  <si>
    <t>03.120 - Quality; 03.120 - Quality; 13.120 - Domestic safety; 13.120 - Domestic safety; 49.020 - Aircraft and space vehicles in general; 49.020 - Aircraft and space vehicles in general; 49.060 - Aerospace electric equipment and systems; 49.060 - Aerospace electric equipment and systems; 49.090 - On-board equipment and instruments; 49.090 - On-board equipment and instruments; 49.120 - Cargo equipment; 49.120 - Cargo equipment</t>
  </si>
  <si>
    <d:r xmlns:d="http://schemas.openxmlformats.org/spreadsheetml/2006/main">
      <d:rPr>
        <d:sz val="11"/>
        <d:rFont val="Calibri"/>
      </d:rPr>
      <d:t xml:space="preserve">https://members.wto.org/crnattachments/2024/TBT/USA/final_measure/24_05695_00_e.pdf</d:t>
    </d:r>
  </si>
  <si>
    <t>Proyecto de reglamento del Decreto Legislativo N° 1570, Decreto Legislativo que aprueba la Ley de Gestión integral de sustancias químicas (Draft Regulations implementing Legislative Decree No. 1570 approving the Law on the Comprehensive Management of Chemical Substances) (417 pages, in Spanish)</t>
  </si>
  <si>
    <t xml:space="preserve">The notified draft Regulations implementing Legislative Decree No. 1570 approving the Law on the Comprehensive Management of Chemical Substances seek to protect human health and the environment through the adoption of mechanisms to reduce risks associated with the handling of chemical substances throughout their life cycle. The Law is being operationalized through the establishment of nine sections, 15 chapters, 72 articles, five final supplementary provisions, three transitional supplementary provisions and one annex. The draft Regulations establish mechanisms to implement four instruments for the management of chemical substances, namely: 1. Mandatory implementation of the GHS; 2. Implementation of the National Registry of Chemical Substances (RENASQ), which is managed by MINAM and linked to the National Environmental G/TBT/N/PER/163 - 2 -   Information System (SINIA) with a view to producing a national inventory of chemical substances imported into and manufactured in the country; 3. Application of specific measures to reduce and manage risks to health and/or the environment associated with substances that, according to their hazard classification, are carcinogenic, mutagenic, reprotoxic or environmentally hazardous; and 4. Submission of health and environmental risk assessments in order to gather more information on the effects associated with exposure to chemical substances of particular interest and those for which there is insufficient information to ensure their proper management.</t>
  </si>
  <si>
    <t>Chapter 28 or 29 of the Customs Tariff 2022</t>
  </si>
  <si>
    <t>28 - INORGANIC CHEMICALS; ORGANIC OR INORGANIC COMPOUNDS OF PRECIOUS METALS, OF RARE-EARTH METALS, OF RADIOACTIVE ELEMENTS OR OF ISOTOPES; 29 - ORGANIC CHEMICALS</t>
  </si>
  <si>
    <t>71 - CHEMICAL TECHNOLOGY</t>
  </si>
  <si>
    <d:r xmlns:d="http://schemas.openxmlformats.org/spreadsheetml/2006/main">
      <d:rPr>
        <d:sz val="11"/>
        <d:rFont val="Calibri"/>
      </d:rPr>
      <d:t xml:space="preserve">https://members.wto.org/crnattachments/2024/TBT/PER/24_05696_00_s.pdf
https://www.gob.pe/institucion/minam/normas-legales/5817305-00214-2024-minam
https://busquedas.elperuano.pe/dispositivo/NL/2310112-1
https://www.gob.pe/institucion/minam/normas-legales/5877632-00231-2024-minam
https://busquedas.elperuano.pe/dispositivo/NL/2314539-1
http://extranet.comunidadandina.org/sirt/public/buscapalavra.aspx
http://consultasenlinea.mincetur.gob.pe/notificaciones/Publico/FrmBuscador.aspx</d:t>
    </d:r>
  </si>
  <si>
    <t>Amendments to the Enforcement Ordinance of the Standards of Feed and Feed Additives (Amendment of an agricultural chemical residue standard)</t>
  </si>
  <si>
    <t>The amendments of the maximum residue limits (MRLs) for the agricultural chemical: 2,4-D.Commodity (for feed)          Proposed MRL(mg/kg)    Current MRL(mg/kg)Oats                                          2                                             0.5Barley                                       2                                             0.5Wheat                                      2                                             0.5Maize                                       0.05                                        0.05Milo                                          2                                              0.5Rye                                           2                                              0.5Hay                                          400                                          260Note:- Residue definition for enforcement: Sum of 2,4-D and its salts and esters expressed as 2,4-D - Hay includes hay and fodder (dry), straw, forage (green) and silage. The MRL is set as 90% dry matter base.- Regarding the name, "2,4-D" was changed to "2,4-dichlorophenoxyacetic acid".</t>
  </si>
  <si>
    <t>Wheat and meslin (HS code(s): 1001); Rye (HS code(s): 1002); Barley (HS code(s): 1003); Oats (HS code(s): 1004); Maize or corn (HS code(s): 1005); Grain sorghum (HS code(s): 1007); Cereal straw and husks, unprepared, whether or not chopped, ground, pressed or in the form of pellets. (HS code(s): 1213); Swedes, mangolds, fodder roots, hay, alfalfa, clover, sainfoin, forage kale, lupines, vetches and similar forage products, whether or not in the form of pellets (HS code(s): 1214)</t>
  </si>
  <si>
    <t>1004 - Oats; 1003 - Barley; 1001 - Wheat and meslin; 1005 - Maize or corn; 1002 - Rye; 1007 - Grain sorghum; 1213 - Cereal straw and husks, unprepared, whether or not chopped, ground, pressed or in the form of pellets.; 1214 - Swedes, mangolds, fodder roots, hay, alfalfa, clover, sainfoin, forage kale, lupines, vetches and similar forage products, whether or not in the form of pellets</t>
  </si>
  <si>
    <t>Veterinary Conditions for Importation of Poultry and Poultry Products; Veterinary Conditions for Importation of Domestic Birds; Veterinary Conditions for Importation of Day-Old Chicks; Veterinary Conditions for Importation of Hatching Eggs</t>
  </si>
  <si>
    <t>Singapore has completed a review of the import conditions for live domestic birds (including day-old chicks, domestic birds), poultry and poultry products, and hatching eggs, to allow the use of vaccination against High Pathogenicity Avian Influenza (HPAI) if certain conditions are met. These conditions are aligned with the recommendations of the World Organisation for Animal Health (WOAH). The amendments are as follows:a. Conditions for importation of poultry and poultry products To allow the use of HPAI vaccines (excluding live/live-attenuated vaccines) that comply with standards described in the WOAH Terrestrial Manual and approved by the competent authority of the exporting country. b. Conditions for importation of live domestic birdsTo allow the use of HPAI vaccines (excluding live/live-attenuated vaccines) that comply with standards described in the WOAH Terrestrial Manual and approved by the competent authority of the exporting country. Details of vaccine used for each consignment exported (e.g. nature of vaccine and date of vaccination) are to be provided.  If HPAI vaccines were used, to ensure that the flock had been tested negative for HPAI within 14 days of export, using methods stated in WOAH Terrestrial Manual for detection of HPAI virus (e.g. virus isolation or real-time RT-PCR). c. Conditions for importation of day-old chicks and hatching eggsTo allow the use of HPAI vaccines (excluding live/live-attenuated vaccines) that comply with standards described in the WOAH Terrestrial Manual and approved by the competent authority of the exporting country for parent flocks and/or day-old chicks. Details of vaccine used for each consignment exported (e.g. nature of vaccine and date of vaccination) are to be provided. If an exporting country is not practising HPAI vaccination to control the disease, the existing import conditions for these goods continue to apply with no change.  </t>
  </si>
  <si>
    <t>Poultry meat and meat products (HS codes: 0207, 0208, 0209, 0210, 1501, 1601, 1602, 1901, 1902, 1904, 1905, 2004, 2104), hatching eggs (HS code: 0407), live domestic birds and day-old chicks (HS code: 0105)</t>
  </si>
  <si>
    <t>0105 - Live poultry, "fowls of the species Gallus domesticus, ducks, geese, turkeys and guinea fowls";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0210 - Meat and edible offal, salted, in brine, dried or smoked; edible flours and meals of meat or meat offal; 0407 - Birds' eggs, in shell, fresh, preserved or cooked; 1501 - Pig fat, incl. lard, and poultry fat, rendered or otherwise extracted (excl. lard stearin and lard oil); 1601 - Sausages and similar products, of meat, meat offal, blood or insects; food preparations based on these products.; 1602 - Prepared or preserved meat, meat offal, blood or insects (excl. sausages and similar products, and meat extracts and juices); 1901 - Malt extract; food preparations of flour, groats, meal, starch or malt extract, not containing cocoa or containing &lt; 40% by weight of cocoa calculated on a totally defatted basis, n.e.s.; food preparations of milk, cream, butter milk, sour milk, sour cream, whey, yogurt, kephir, and similar goods of heading 0401 to 0404, not containing cocoa or containing &lt; 5% by weight of cocoa calculated on a totally defatted basis, n.e.s.; 1902 - Pasta, whether or not cooked or stuffed with meat or other substances or otherwise prepared, such as spaghetti, macaroni, noodles, lasagne, gnocchi, ravioli, cannelloni; couscous, whether or not prepared; 1904 - Prepared foods obtained by the swelling or roasting of cereals or cereal products, e.g. corn flakes; cereals (other than maize "corn") in grain form or in the form of flakes or other worked grains (except flour, groats and meal), pre-cooked or otherwise prepared, n.e.s.; 1905 - Bread, pastry, cakes, biscuits and other bakers' wares, whether or not containing cocoa; communion wafers, empty cachets of a kind suitable for pharmaceutical use, sealing wafers, rice paper and similar products; 2004 - Vegetables prepared or preserved otherwise than by vinegar or acetic acid, frozen (excl. preserved by sugar, and tomatoes, mushrooms and truffles); 2104 - Soups and broths and preparations therefor; food preparations consisting of finely homogenised mixtures of two or more basic ingredients such as meat, fish, vegetables or fruit, put up for retail sale as infant food or for dietetic purposes, in containers of &lt;= 250 g</t>
  </si>
  <si>
    <t>Human health; Animal health; Food safety; Animal diseases; Zoonoses; Avian Influenza</t>
  </si>
  <si>
    <t>Proyecto de Resolución Directoral que establece los requisitos fitosanitarios para la importación de clavo de olor entero (Syzygium aomaticum L.) de origen y procedencia Sri Lanka (Draft Directorial Resolution establishing the phytosanitary import requirements for whole cloves (Syzygium aromaticum L.) originating in and coming from Sri Lanka)</t>
  </si>
  <si>
    <t>The notified draft phytosanitary requirements governing the importation of whole cloves (Syzygium aromaticum L.) originating in and coming from Sri Lanka are being submitted for public consultation following the completion of the pest risk analysis.</t>
  </si>
  <si>
    <t>Cloves (HS code: 090710)</t>
  </si>
  <si>
    <t>090710 - Cloves, whole fruit, cloves and stems, neither crushed nor ground</t>
  </si>
  <si>
    <t>Sri Lanka</t>
  </si>
  <si>
    <d:r xmlns:d="http://schemas.openxmlformats.org/spreadsheetml/2006/main">
      <d:rPr>
        <d:sz val="11"/>
        <d:rFont val="Calibri"/>
      </d:rPr>
      <d:t xml:space="preserve">https://members.wto.org/crnattachments/2024/SPS/PER/24_05691_00_s.pdf
El texto lo puede descargar de la página web del SENASA
 cuya ruta es la siguiente:
http://www.senasa.gob.pe/senasa/consulta-publica/  (disponible en español)
</d:t>
    </d:r>
  </si>
  <si>
    <t>Albania</t>
  </si>
  <si>
    <t>Draft Law "On Animal by-Products"</t>
  </si>
  <si>
    <t xml:space="preserve">The object of this law is the determination of public health and animal health rules for animal by-products and derived products._x000D_
The aim is to prevent and minimize risks to public and animal health arising from these products, and in particular to protect the safety of the food chain and foodstuffs.1. This law applies to:_x000D_
a) by-products of animal origin and derivative products produced from their processing which are excluded from human consumption according to the legislation;_x000D_
b) the following products, which after the irrevocable decision taken by the food business operator are no longer used as human food. These products are:_x000D_
i) products of animal origin that were intended for human consumption according to the requirements of food legislation;_x000D_
ii) raw materials for the production of foods of animal origin.This Draft Law is approximated with Regulation (EC) No 1069/2009 of the European Parliament and of the Council of 21 October 2009 laying down health rules as regards animal by-products and derived products not intended for human consumption and repealing Regulation (EC) No 1774/2002 (Animal by-products Regulation).</t>
  </si>
  <si>
    <t>Animal by-products and derived products</t>
  </si>
  <si>
    <d:r xmlns:d="http://schemas.openxmlformats.org/spreadsheetml/2006/main">
      <d:rPr>
        <d:sz val="11"/>
        <d:rFont val="Calibri"/>
      </d:rPr>
      <d:t xml:space="preserve">https://members.wto.org/crnattachments/2024/SPS/ALB/24_05701_00_x.pdf</d:t>
    </d:r>
  </si>
  <si>
    <t>Malaysia</t>
  </si>
  <si>
    <t>Technical Code for Digital Terrestrial Television Broadcast Service Receiver - Common Test Suite (Third Revision) (MCMC MTSFB TC T011:2024) </t>
  </si>
  <si>
    <t>This Technical Code was developed for the purpose of certifying communications equipment in accordance with regulation 14 of the Communications and Multimedia (Technical Standards) Regulations 2000 [P.U.(A) 124/2000This Technical Code specifies the test methods for the Digital Terrestrial Television (DTT) broadcast receivers to ensure its interoperability, functionality, quality, safety and performance. </t>
  </si>
  <si>
    <t>Digital Terrestrial Television (DTT) broadcast receiver which may include, but not limited to, Integrated Digital Television (IDTV), Set- Top-Boxes (STB) or any other similar device intended for use with the Digital Video Broadcasting - Second Generation Terrestrial (DVB-T2) such as Universal Serial Bus (USB) dongle, PC cards, portable and vehicle-mounted equipment.Television and radio broadcasting (ICS:33.170)</t>
  </si>
  <si>
    <t>33.170 - Television and radio broadcasting</t>
  </si>
  <si>
    <d:r xmlns:d="http://schemas.openxmlformats.org/spreadsheetml/2006/main">
      <d:rPr>
        <d:sz val="11"/>
        <d:rFont val="Calibri"/>
      </d:rPr>
      <d:t xml:space="preserve">https://members.wto.org/crnattachments/2024/TBT/MYS/24_05697_00_e.pdf</d:t>
    </d:r>
  </si>
  <si>
    <t>Biosecurity cost recovery arrangement – Cost Recovery Implementation Statement: 2024-25</t>
  </si>
  <si>
    <t>The cost recovery implementation statement (CRIS) provides information on how the Department of Agriculture, Fisheries and Forestry implements cost recovery for biosecurity and imported food regulatory activities.As part of the Australian Government’s election commitment to sustainably fund the Commonwealth biosecurity system, announced in the 2023-24 Federal Budget, it was agreed that current industry biosecurity cost recovery arrangements would be extended to low value goods imported into Australian territory. These costs are currently being met by general taxpayers. Revenue raised from this new charge will flow directly to biosecurity.The volume and diversity of low value goods coming into Australia, via air or sea, and the underlying countries of origin, have been steadily increasing. This largely reflects the growing international e‑commerce market. In 2022-23, over 85 million items were brought in. However, as with other cargo and mail items, Australia is facing growing biosecurity risks on through pathway. Our biosecurity efforts, in partnership with industry, need to support efficient clearance of low-risk items while ensuring adequate protections against potential risks introduced by higher risk items.</t>
  </si>
  <si>
    <t>Declared low value goods (valued at AUD $1,000 or less) being brought into Australian territory by air or sea</t>
  </si>
  <si>
    <t>Food safety (SPS); Animal health (SPS); Plant protection (SPS); Protect humans from animal/plant pest or disease (SPS); Protect territory from other damage from pests (SPS)</t>
  </si>
  <si>
    <t>Human health; Animal health; Plant health; Food safety; Territory protection; Animal diseases</t>
  </si>
  <si>
    <d:r xmlns:d="http://schemas.openxmlformats.org/spreadsheetml/2006/main">
      <d:rPr>
        <d:sz val="11"/>
        <d:rFont val="Calibri"/>
      </d:rPr>
      <d:t xml:space="preserve">https://www.agriculture.gov.au/about/fees/biosecurity-cris</d:t>
    </d:r>
  </si>
  <si>
    <t>Draft Order of the Ministry of Agrarian Policy  and Food of Ukraine “On Amendments to the Order of the Ministry of Agrarian Policy and Food of Ukraine No. 592 of 02 November 2017”</t>
  </si>
  <si>
    <t>Ukraine notifies the adoption of the Order of the Ministry of Agrarian Policy and Food of Ukraine No. 2113  “On Amendments to the Order of the Ministry of Agrarian Policy and Food of Ukraine No. 592 of 02 November 2017” of 17 July 2024.The Order was registered in the Ministry of Justice of Ukraine on 02 August 2024 and  published on 22 August 2024.The Order entered into force on 22 August 2024 and will be enacted simultaneously with the Order of the Ministry of Agrarian Policy and Food of Ukraine No. 592 "On Approval of the Requirements for Types of Sugars Intended for Human Consumption" of 02 November 2017 (will be enacted 3 months after the termination or cancellation of the martial law).</t>
  </si>
  <si>
    <t>sugar (HS code(s): 17019; 170230; 170240; 170250; 170260; 170290)</t>
  </si>
  <si>
    <t>17019 - - Other:; 170230 - Glucose in solid form and glucose syrup, not containing added flavouring or colouring matter and not containing fructose or containing in the dry state, &lt; 20% by weight of fructose; 170240 - Glucose in solid form and glucose syrup, not containing added flavouring or colouring matter, and containing in the dry state &gt;= 20% and &lt; 50% by weight of fructose (excl. invert sugar); 170250 - Chemically pure fructose in solid form; 170260 - Fructose in solid form and fructose syrup, not containing added flavouring or colouring matter and containing in the dry state &gt; 50% by weight of fructose (excl. chemically pure fructose and invert sugar); 170290 - 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 170230 - Glucose in solid form and glucose syrup, not containing added flavouring or colouring matter and not containing fructose or containing in the dry state, &lt; 20% by weight of fructose; 17019 - - Other:; 170240 - Glucose in solid form and glucose syrup, not containing added flavouring or colouring matter, and containing in the dry state &gt;= 20% and &lt; 50% by weight of fructose (excl. invert sugar); 170250 - Chemically pure fructose in solid form; 170260 - Fructose in solid form and fructose syrup, not containing added flavouring or colouring matter and containing in the dry state &gt; 50% by weight of fructose (excl. chemically pure fructose and invert sugar); 170290 - 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t>
  </si>
  <si>
    <d:r xmlns:d="http://schemas.openxmlformats.org/spreadsheetml/2006/main">
      <d:rPr>
        <d:sz val="11"/>
        <d:rFont val="Calibri"/>
      </d:rPr>
      <d:t xml:space="preserve">https://members.wto.org/crnattachments/2024/TBT/UKR/final_measure/24_05663_00_e.pdf
https://members.wto.org/crnattachments/2024/TBT/UKR/final_measure/24_05663_00_x.pdf</d:t>
    </d:r>
  </si>
  <si>
    <t>Measures to prevent the introduction of Tomato brown rugose fruit virus (ToBRFV) into Türkiye</t>
  </si>
  <si>
    <t>In order to prevent the entry of Tomato brown rugose fruit virus (Tobamovirus, ToBRFV) into Türkiye, an additional declaration was introduced in the phytosanitary certificates for  the import of tomato (Solanum lycopersicum L.) and capsicum (Capsicum spp.) seeds and plants for planting purposes from countries, which were notified through G/SPS/N/TUR/109, G/SPS/N/TUR/109/Add.1, G/SPS/N/TUR/109/Add.2, G/SPS/N/TUR/109/Add.3, G/SPS/N/TUR/109/Add.4, G/SPS/N/TUR/109/Add.5 and G/SPS/N/TUR/109/Add.5/Corr.1.As of 1 September 2024, the phytosanitary requirements for tomato and pepper seeds and plants for planting purposes from all countries entering Türkiye are set out below.Article 1. Introduction into Türkiye of the tomato (Solanum lycopersicum L.) and hybrids thereof, and of pepper (Capsicum spp.) plants (hereinafter referred to as specified plants) for planting Specified plants  for planting, other than the ones belonging to varieties which are known to be resistant to ToBRFV, may only be introduced if they are accompanied by a phytosanitary certificate which, under the heading “Additional declaration” includes the following elements: (a)  an official statement that the specified plants for planting in the Additional declaration derive from seeds which comply with the requirements laid down in Article 2;(b) an official statement that the specified plants for planting in the Additional declaration have been produced in a production site which is registered and supervised by the national plant protection organisation in the country of origin and known to be free from the ToBRFV on the basis of official inspections, sampling and testing carried out at the appropriate time to detect that pest;(c) the name of the registered production site. 2. Specified plants for planting of varieties which are known to be resistant to ToBRFV may only be introduced if they are accompanied by a phytosanitary certificate, which, under the heading “Additional Declaration”, confirms that resistance.Article 2. Introduction into Türkiye of the tomato (Solanum lycopersicum L.) and hybrids thereof, and of pepper (Capsicum spp.) seeds (hereinafter referred to as specified seeds) 1. Specified seeds, other than the ones belonging to varieties which are known to be resistant to ToBRFV, may only be introduced into Türkiye if they are accompanied by a phytosanitary certificate, which, under the heading “Additional Declaration” contains all of the following:(a) an official statement that all of the following conditions have been fulfilled: (i) The mother plants of the specified seeds concerned have been produced in a production site where the ToBRFV is known not to occur, on the basis of official inspections carried out at the appropriate time to detect ToBRFV;(ii) in the case of a specified seed lot originating from more than 30 mother plants, that specified seed lot ,prior to processing, has been analysed using the RT-PCR method and found to be free from the ToBRFV according to these tests;(iii) in the case of a specific seed lot originating from less than or equal to 30 mother plants, analyses using the RT-PCR method have been carried out on the specified seeds, or on each individual mother plant of those specified seeds and specified seeds or mother plants have been found, according to those analyses, to be free from the ToBRFV; (b) information ensuring the traceability of the production site of the mother plants.2. Specified seeds of varieties, which are known to be resistant to ToBRFV, originating from all countries, may only be introduced if they are accompanied by a phytosanitary certificate, which, under the heading “Additional Declaration”, confirms that resistance.3. By way of derogation from paragraph 1, point (a), specified seeds that have been harvested prior to 31 August 2023 and before their introduction into Türkiye have been found to comply with the requirements of Implementing Regulation (EU) 2020/1191, may be introduced into Türkiye accompanied by a phytosanitary certificate indicating under the heading “Additional Declaration”, the following statement: "These seeds have been harvested before 31 August 2023 and have been found to be free from the ToBRFV using RT-PCR method".Article 3. The analysis of the specified plants and specified seeds referred to in Articles 1 and 2 above must be carried out using the real-time RT-PCR method as described in the Annex to EU directive 2023/1032. Under the heading “Additional Declaration” of the Phytosanitary Certificate, it shall state that “it has been found to be free from the ToBRFV using the real-time RT-PCR analysis method”.</t>
  </si>
  <si>
    <t>Tomato (Solanum lycopersicum L.) and pepper (Capsicum spp.) seeds and plants for planting purposes</t>
  </si>
  <si>
    <t>Plant health; Pests; Plant diseases</t>
  </si>
  <si>
    <t>Draft Resolution of the Cabinet of Ministers of Ukraine "On Amending Paragraph 2 of the Technical Regulation for Pressure Equipment"</t>
  </si>
  <si>
    <t>Ukraine notifies the adoption of the Resolution of the Cabinet of Ministers of Ukraine No. 963 "On Amending Paragraph 2 of the Technical Regulation for Pressure Equipment" of 23 August 2024.The Resolution was published and entered into force on 27 August 2024.</t>
  </si>
  <si>
    <t>Pressure equipment</t>
  </si>
  <si>
    <t>23.020.30 - Gas pressure vessels, gas cylinders; 23.020.30 - Gas pressure vessels, gas cylinders; 23.060.40 - Pressure regulators; 23.060.40 - Pressure regulators</t>
  </si>
  <si>
    <t>National security requirements (TBT); Protection of human health or safety (TBT); Harmonization (TBT); Other (TBT)</t>
  </si>
  <si>
    <d:r xmlns:d="http://schemas.openxmlformats.org/spreadsheetml/2006/main">
      <d:rPr>
        <d:sz val="11"/>
        <d:rFont val="Calibri"/>
      </d:rPr>
      <d:t xml:space="preserve">https://members.wto.org/crnattachments/2024/TBT/UKR/final_measure/24_05700_00_e.pdf
https://members.wto.org/crnattachments/2024/TBT/UKR/final_measure/24_05700_00_x.pdf</d:t>
    </d:r>
  </si>
  <si>
    <t>Smokefree Environments and Regulated Products Amendment Bill (No 2)</t>
  </si>
  <si>
    <t xml:space="preserve">The Bill prescribes certain characteristics for vaping products manufactured, sold, supplied or distributed in New Zealand.The Bill does this by amending the Smokefree Environments and Regulated Products Act 1990 to introduce a prohibition on the manufacture, sale, supply, and distribution of ‘disposable vaping products’. ‘Disposable vaping products’ are defined by reference to certain product characteristics, as:disposable vaping product means a vaping product that is not designed orintended to be reused, and includes—_x000D_
A) a vaping device that—_x000D_
(i) is not designed to be refilled by the user with a vaping substance;or(ii) is not designed to be recharged; or(iii) both subparagraphs (i) and (ii) describe; and B) a container that—(i) is pre-filled with a vaping substance; and(ii) is designed to be fitted into a vaping device; and(iii) is not designed to be refilled by the user with a vaping substance</t>
  </si>
  <si>
    <t>Disposable vaping products</t>
  </si>
  <si>
    <t>2404 - Products containing tobacco, reconstituted tobacco, nicotine, or tobacco or nicotine substitutes, intended for inhalation without combustion; other nicotine containing products intended for the intake of nicotine into the human body</t>
  </si>
  <si>
    <t>65.160 - Tobacco, tobacco products and related equipment</t>
  </si>
  <si>
    <d:r xmlns:d="http://schemas.openxmlformats.org/spreadsheetml/2006/main">
      <d:rPr>
        <d:sz val="11"/>
        <d:rFont val="Calibri"/>
      </d:rPr>
      <d:t xml:space="preserve">https://members.wto.org/crnattachments/2024/TBT/NZL/24_05698_00_e.pdf</d:t>
    </d:r>
  </si>
  <si>
    <t>Proyecto de Resolución Directoral que establece los requisitos fitosanitarios para la importación de semillas de pimiento (Capsicum annuum L.) de origen y procedencia Turquía (Draft Directorial Resolution establishing the phytosanitary import requirements for bell pepper (Capsicum annuum L.) seeds originating in and coming from Türkiye)</t>
  </si>
  <si>
    <t>The notified draft phytosanitary requirements governing the importation of bell pepper (Capsicum annuum L.) seeds originating in and coming from Türkiye are being submitted for public consultation following the completion of the pest risk analysis.</t>
  </si>
  <si>
    <t>Bell pepper seeds for sowing (HS code: 120991)</t>
  </si>
  <si>
    <d:r xmlns:d="http://schemas.openxmlformats.org/spreadsheetml/2006/main">
      <d:rPr>
        <d:sz val="11"/>
        <d:rFont val="Calibri"/>
      </d:rPr>
      <d:t xml:space="preserve">https://members.wto.org/crnattachments/2024/SPS/PER/24_05692_00_s.pdf</d:t>
    </d:r>
  </si>
  <si>
    <t>Emergency measures to mitigate the risk of introducing Radopholus similis</t>
  </si>
  <si>
    <t xml:space="preserve">To prevent the introduction of Radopholus similis into Japan, the MAFF will require National Plant Protection Organizations (NPPO) of exporting countries to certify that:For Underground parts of the live plants being capable of planting for cultivation of ChamaedoreaThe plants are grown at a place of production or a production site (including a plant growth facility) where Radopholus similis has not been known to occur or was known to occur previously but has been eradicated; andThe plants are inspected at the place of production or the production site during the growing season, and the growing medium and the underground parts of the plants are examined by an appropriate nematological test and found to be free from R. similis_x000D_
Therefore, the NPPO of exporting countries will be required to include an additional declaration by stating that "Fulfills item 12 of the Annexed Table 2-2 of the Ordinance for Enforcement of the Plant Protection Act (MAF Ordinance No 73/1950)</t>
  </si>
  <si>
    <t>Underground parts of the live plants being capable of planting for cultivation (excluding live plants that are aseptically cultured, sealed in test tubes, flasks, etc., and imported being free from the quarantine pest) of Chamaedorea</t>
  </si>
  <si>
    <t>American Samoa Niue; Australia; Bangladesh; Belgium; Belize; Brazil; Cameroon; Canada; China; Colombia; Costa Rica; Côte d'Ivoire; Cuba; Democratic Republic of the Congo; Denmark; Dominica; Dominican Republic; Ecuador; Egypt; El Salvador; Ethiopia; Fiji; France; Gabon; Germany; Ghana; Grenada; Guadeloupe; Guatemala; Guinea; Hawaiian Islands; Hong Kong, China; India; Indonesia; Jamaica; Kenya; Madagascar; Malawi; Malaysia; Martinique; Mexico; Mozambique; Netherlands; New Caledonia; Nicaragua; Nigeria; Norfolk Island (Australia); Oman; Pakistan; Panama; Papua New Guinea; Peru; Philippines; Poland; Puerto Rico; Reunion; Saint Lucia; Saint Vincent and the Grenadines; Samoa; Senegal; Singapore; Somalia; South Africa; South Sudan; Sri Lanka; Sudan; Suriname; Tanzania; Thailand; Tonga; Trinidad and Tobago; Uganda; United Kingdom; United States of America; Venezuela, Bolivarian Republic of; Viet Nam; Zambia; Zimbabwe</t>
  </si>
  <si>
    <t>National Standard of the P.R.C., Building construction machinery and equipment—Common safety requirements</t>
  </si>
  <si>
    <t xml:space="preserve">This document specifies the general safety requirements of building construction machinery and equipment._x000D_
This document applies to building construction machinery and equipment such as concrete and mortar machinery, drilling and foundation equipment, tunneling machinery, road construction and road maintenance machinery, building demolition or processing machinery, construction components machinery and steel reinforcement processing machinery.</t>
  </si>
  <si>
    <t>Building construction machinery and equipment (HS code(s): 841340; 842940; 843010; 843031; 843050; 843069; 846729; 84743; 847480; 847910); (ICS code(s): 91.220)</t>
  </si>
  <si>
    <t>841340 - Concrete pumps; 842940 - Self-propelled tamping machines and roadrollers; 843010 - Pile-drivers and pile-extractors (excl. those mounted on railway wagons, motor vehicle chassis or lorries); 843031 - Self-propelled coal or rock cutters and tunnelling machinery (excl. hydraulically operated self-advancing supports for mines); 843050 - Self-propelled earth-moving machinery, n.e.s.; 843069 - Earth moving machinery, not self-propelled, n.e.s.; 846729 - Electromechanical tools for working in the hand, with self-contained electric motor (excl. saws and drills); 84743 - - Mixing or kneading machines:; 847480 - Machinery for agglomerating, shaping or moulding solid mineral fuels, ceramic paste, unhardened cements, plastering materials and other mineral products in powder or paste form; machines for forming foundry moulds of sand (excl. those for the casting or pressing of glass and machines for additive manufacturing); 847910 - Machinery for public works, building or the like, n.e.s.</t>
  </si>
  <si>
    <t>91.220 - Construction equipment</t>
  </si>
  <si>
    <d:r xmlns:d="http://schemas.openxmlformats.org/spreadsheetml/2006/main">
      <d:rPr>
        <d:sz val="11"/>
        <d:rFont val="Calibri"/>
      </d:rPr>
      <d:t xml:space="preserve">https://members.wto.org/crnattachments/2024/TBT/CHN/24_05628_00_x.pdf</d:t>
    </d:r>
  </si>
  <si>
    <t>Draft Commission Implementing Regulation renewing the approval of dinotefuran as an active substance for use in biocidal products of product-type 18 in accordance with Regulation (EU) No 528/2012 of the European Parliament and of the Council</t>
  </si>
  <si>
    <t>This draft Commission Implementing Regulation renews the approval of dinotefuran as an active substance for use in biocidal products of product-type 18. </t>
  </si>
  <si>
    <t>Biocidal products</t>
  </si>
  <si>
    <t>Protection of human health or safety (TBT); Protection of the environment (TBT); Harmonization (TBT)</t>
  </si>
  <si>
    <d:r xmlns:d="http://schemas.openxmlformats.org/spreadsheetml/2006/main">
      <d:rPr>
        <d:sz val="11"/>
        <d:rFont val="Calibri"/>
      </d:rPr>
      <d:t xml:space="preserve">https://members.wto.org/crnattachments/2024/TBT/EEC/24_05651_00_e.pdf
https://members.wto.org/crnattachments/2024/TBT/EEC/24_05651_01_e.pdf</d:t>
    </d:r>
  </si>
  <si>
    <t>National Standard of the P.R.C., Safety technical specification for leather and fur products</t>
  </si>
  <si>
    <t xml:space="preserve">This document specifies  the terms and definitions, product classifications, requirements, test methods and judgement for the safety of leather and fur products.. _x000D_
This document applies to all types of leather and fur products as well as leather and fur parts of leather and fur products.</t>
  </si>
  <si>
    <t>Leather and fur (HS code(s): 4104; 4105; 4106; 4107; 4202; 4203; 4205; 4302; 4303; 4304); (ICS code(s): 59.140.30)</t>
  </si>
  <si>
    <t>4104 - Tanned or crust hides and skins of bovine "incl. buffalo" or equine animals, without hair on, whether or not split (excl. further prepared); 4105 - Tanned or crust skins of sheep or lambs, without wool on, whether or not split (excl. further prepared); 4106 - Tanned or crust hides and skins of goats or kids, pigs, reptiles and other animals, without wool on, and leather of hairless animals, whether or not split (excl. further prepared and leather of bovine and equine animals, sheep and lambs); 4107 - Leather further prepared after tanning or crusting "incl. parchment-dressed leather", of bovine "incl. buffalo" or equine animals, without hair on, whether or not split (excl. chamois leather, patent leather and patent laminated leather, and metallised leather); 4202 - Trunks, suitcases, vanity cases, executive-cases, briefcases, school satchels, spectacle cases, binocular cases, camera cases, musical instrument cases, gun cases, holsters and similar containers; travelling-bags, insulated food or beverage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 4203 - Articles of apparel and clothing accessories, of leather or composition leather (excl. footware and headgear and parts thereof, and goods of chapter 95, e.g. shin guards, fencing masks); 4205 - Other articles of leather or of composition leather.; 4302 - Tanned or dressed furskins, incl. heads, tails, paws and other pieces, scraps and remnants, unassembled, or assembled, without the addition of other materials (excl. clothing, clothing accessories and other furskin articles); 4303 - Articles of apparel, clothing accessories and other furskin articles (excl. gloves made of leather and furskin, footware and headgear and parts thereof, and goods of chapter 95, e.g., toys, games and sports equipment); 4304 - Artificial fur and articles thereof.</t>
  </si>
  <si>
    <t>59.140.30 - Leather and furs</t>
  </si>
  <si>
    <d:r xmlns:d="http://schemas.openxmlformats.org/spreadsheetml/2006/main">
      <d:rPr>
        <d:sz val="11"/>
        <d:rFont val="Calibri"/>
      </d:rPr>
      <d:t xml:space="preserve">https://members.wto.org/crnattachments/2024/TBT/CHN/24_05617_00_x.pdf</d:t>
    </d:r>
  </si>
  <si>
    <t>Proposal for Amendments to the Legal Inspection for Automobile Tyres</t>
  </si>
  <si>
    <t>The Bureau of Standards, Metrology and Inspection (BSMI) proposes to adopt the revised standard CNS 1431:2023 “automobile tyres” as the inspection standard. The content of the revised CNS 1431:2023 remains mostly the same as the previous version. The main differences include adding requirements of rolling sound emission, wet grip braking performance and rolling resistance coefficient. </t>
  </si>
  <si>
    <t>New pneumatic tyres, of rubber, of a kind used for motor cars, incl. station wagons (HS code(s): 401110); New pneumatic tyres, of rubber, of a kind used for buses and lorries (excl. tyres with lug, corner or similar treads) (HS code(s): 401120); Tyres in general (ICS code(s): 83.160.01); Road vehicle tyres (ICS code(s): 83.160.10)</t>
  </si>
  <si>
    <t>401110 - New pneumatic tyres, of rubber, of a kind used for motor cars, incl. station wagons and racing cars; 401120 - New pneumatic tyres, of rubber, of a kind used for buses and lorries (excl. tyres with lug, corner or similar treads)</t>
  </si>
  <si>
    <t>83.160.01 - Tyres in general; 83.160.10 - Road vehicle tyres</t>
  </si>
  <si>
    <d:r xmlns:d="http://schemas.openxmlformats.org/spreadsheetml/2006/main">
      <d:rPr>
        <d:sz val="11"/>
        <d:rFont val="Calibri"/>
      </d:rPr>
      <d:t xml:space="preserve">https://members.wto.org/crnattachments/2024/TBT/TPKM/24_05658_00_e.pdf
https://members.wto.org/crnattachments/2024/TBT/TPKM/24_05658_00_x.pdf</d:t>
    </d:r>
  </si>
  <si>
    <t>Technical requirements for conformity assessment of cables for data transmission.</t>
  </si>
  <si>
    <t>ANATEL Act 11263, 2 August 2024, to update the technical requirements for assessing the conformity of horizontal data transmission cables with solid conductors - categories 7, 7A and 8 with a capacity of four pairs and categories 3, 5e, 6 and 6A with a capacity of two or four pairs are approved by Act No. 385, 16 January 2023.</t>
  </si>
  <si>
    <t>ELECTRICAL MACHINERY AND EQUIPMENT AND PARTS THEREOF; SOUND RECORDERS AND REPRODUCERS, TELEVISION IMAGE AND SOUND RECORDERS AND REPRODUCERS, AND PARTS AND ACCESSORIES OF SUCH ARTICLES (HS code(s): 85); TELECOMMUNICATIONS. AUDIO AND VIDEO ENGINEERING (ICS code(s): 33)</t>
  </si>
  <si>
    <t>33 - TELECOMMUNICATIONS. AUDIO AND VIDEO ENGINEERING; 33 - TELECOMMUNICATIONS. AUDIO AND VIDEO ENGINEERING</t>
  </si>
  <si>
    <t>Draft for the Use Restrictions and Labeling Requirements of γ-Aminobutyric Acid Produced by Microbial Fermentation as a Food Ingredient</t>
  </si>
  <si>
    <t>This draft regulation specifies the use restrictions and labeling requirements for the γ-aminobutyric acid (GABA) for food purposes.</t>
  </si>
  <si>
    <d:r xmlns:d="http://schemas.openxmlformats.org/spreadsheetml/2006/main">
      <d:rPr>
        <d:sz val="11"/>
        <d:rFont val="Calibri"/>
      </d:rPr>
      <d:t xml:space="preserve">https://members.wto.org/crnattachments/2024/TBT/TPKM/24_05637_00_e.pdf
https://members.wto.org/crnattachments/2024/TBT/TPKM/24_05637_00_x.pdf</d:t>
    </d:r>
  </si>
  <si>
    <t>2025 Building Energy Efficiency Standards</t>
  </si>
  <si>
    <t xml:space="preserve">In response to comments received on the June 2024 Express Terms, the California Energy Commission (CEC) is publishing this second Notice of 15-Day Public Comment Period with proposed additional changes specifically limited to the following sections of the California Code of Regulations, Title 24: • Administrative Procedures for the Energy Code Compliance Program, Part 1, Chapter 10, Section 10-103.3, 2 • Compliance Software, Alternative Component Packages, Exceptional Methods, Data Registries and Related External Digital Data Sources, Alternative Residential Field Verification Protocols, Electronic Document Repositories, Photovoltaic, and Battery Energy Storage System Requirement Determinations, Part 1, Chapter 10, Section 10-109, • Definitions, Part 6, Section 100.1, • Mandatory Requirements for Fans, Part 6, Section 120.10, • Performance Approach: Energy Budgets for Nonresidential Buildings, Part 6, Section 140.1(a), • Prescriptive Requirements for Space Conditioning Systems, Multi-zone Space conditioning System Types, Part 6, Section 140.4(a)3, • Prescriptive Requirements for New or Replacement Space-Conditioning Systems or Components in Nonresidential Buildings, Alterations, Part 6, Section 141.0(b)2C, • Performance and Prescriptive Compliance Approaches for Single-Family Residential Buildings, Part 6, Section 150.1(b)1A, • Mandatory Requirements for Space Conditioning Systems in Multifamily Buildings, Dwelling Unit Space-Conditioning and Air Distribution Systems, Part 6, Section 160.3(b)5Liii, • Multifamily Buildings Performance Compliance Approach, Part 6, Section 170.1(a)1,• Qualification Requirements for High Luminous Efficacy Light Sources, Marking, Joint Appendix JA8.5 and JA8.9, and • Qualification Requirements for Heat Pump Water Heater Demand Management Systems, Minimum Performance Requirements, Efficiency, Joint Appendix JA13.3.2(a). This newly published set of regulatory text is designated, “August 2024 Express Terms.” Only sections that include proposed changes are included in the associated regulatory text; all other sections of the proposed California Energy Code update remain the same as in the June 2024 Express Terms. The public is invited to submit written comments on the proposed changes to these sections included in the August 2024 Express Terms during a second 15-day comment period from 22 August through 6 September 2024. Any interested person may submit written comments to the CEC for consideration on or prior to 6 September 2024. The CEC appreciates receiving written comments at the earliest possible date. Comments submitted outside this comment period are considered untimely. The CEC may, but is not required to, respond to untimely comments.2025 Energy Code Rulemaking Docket Log 24 -BSTD-01: _x000D_
https://efiling.energy.ca.gov/Lists/DocketLog.aspx?docketnumber=24-BSTD-01_x000D_
</t>
  </si>
  <si>
    <t>Energy efficiency; Environmental protection (ICS code(s): 13.020); Air quality (ICS code(s): 13.040); Energy efficiency. Energy conservation in general (ICS code(s): 27.015); Installations in buildings (ICS code(s): 91.140)</t>
  </si>
  <si>
    <t>13.040 - Air quality; 91.140 - Installations in buildings; 13.040 - Air quality; 27.015 - Energy efficiency. Energy conservation in general; 27.015 - Energy efficiency. Energy conservation in general; 91.140 - Installations in buildings</t>
  </si>
  <si>
    <d:r xmlns:d="http://schemas.openxmlformats.org/spreadsheetml/2006/main">
      <d:rPr>
        <d:sz val="11"/>
        <d:rFont val="Calibri"/>
      </d:rPr>
      <d:t xml:space="preserve">https://members.wto.org/crnattachments/2024/TBT/USA/modification/24_05614_00_e.pdf</d:t>
    </d:r>
  </si>
  <si>
    <t>Call for submissions, Application A1260 – 2-Methyloxolane as a processing aid; Supporting Document 1 Risk and technical assessment report, Application A1260 – 2-Methyloxolane as a processing aid;</t>
  </si>
  <si>
    <t>FSANZ has assessed an application to amend the Australia New Zealand Food Standards Code (the Code) to permit use of 2-methyloxolane (2-MeOx) as an extraction solvent processing aid. 2-MeOx can  be used to extract and separate oils and proteins from plant-based products, including oilseeds. It can  also be used to extract components such as flavours, fragrances and colours, again from plant-based sources.FSANZ concluded the extraction solvent achieves its technological purpose. An identity and purity specification is to be inserted into Schedule 3 of the Code (which reflects the specifications detailed in Commission Directive (EU) 2023/175 dated 26 January 2023), to ensure the product meets the appropriate requirements so that the presence of certain impurities is minimised. FSANZ proposes to set maximum permitted levels (MPL) for residual 2-MeOx in foods: 3 mg/kg for infant formula products; 5 mg/kg in foods for infants and formulated supplementary foods for young children; and 20 mg/kg for other foods.No public health and safety concerns were identified from 2-MeOx as an extraction solvent at the proposed MPLs.</t>
  </si>
  <si>
    <t>Foods sold in New Zealand (both imported and domestically produced)</t>
  </si>
  <si>
    <d:r xmlns:d="http://schemas.openxmlformats.org/spreadsheetml/2006/main">
      <d:rPr>
        <d:sz val="11"/>
        <d:rFont val="Calibri"/>
      </d:rPr>
      <d:t xml:space="preserve">https://www.foodstandards.gov.au/food-standards-code/applications/Application-A1260-2-methyloxolane-as-a-processing-aid</d:t>
    </d:r>
  </si>
  <si>
    <t>National Standard of the P.R.C., Limit of harmful substances of coating materials—Part1：Architectural coatings</t>
  </si>
  <si>
    <t xml:space="preserve">This document specifies classification of product, requirements, testing methods, inspection rules, packaging and labelling related to the allowable limits of substances harmful to human health and the environment in architectural coatings and their accessory materials._x000D_
This document applies to all types of wall coatings and their accessory materials used in construction, which are directly applied on-site to decorate and protect the interior and exterior surfaces of buildings based on cement-based and other non-metallic materials (excluding wooden materials), and have other special functions (such as mold prevention, algae prevention, insulation, etc.)._x000D_
It also applies to various floor coatings and accessory materials that can be directly applied on-site to decorate, protect, and have other special functions (such as anti-static, corrosion-resistant, anti-skid, etc.) on cement mortar, concrete, stone, plastic or steel substrates.  </t>
  </si>
  <si>
    <t>(HS code(s): 3205; 3208; 3209; 3212; 3214); (ICS code(s): 87.040)</t>
  </si>
  <si>
    <t>3205 - Colour lakes; preparations as specified in Note 3 to this Chapter based on colour lakes.; 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 3209 - Paints and varnishes, incl. enamels and lacquers, based on synthetic polymers or chemically modified natural polymers, dispersed or dissolved in an aqueous medium; 3212 - Pigments, incl. metallic powders and flakes, dispersed in non-aqueous media, in liquid or paste form, of a kind used in the manufacture of paints; stamping foils of a kind used in the printing of book bindings or hatband leather; colorants and other colouring matter, n.e.s. put up for retail sale; 3214 - Glaziers' putty, grafting putty, resin cements, caulking compounds and other mastics; painters' fillings; non-refractory surfacing preparations for façades, indoor walls, floors, ceilings or the like</t>
  </si>
  <si>
    <t>87.040 - Paints and varnishes</t>
  </si>
  <si>
    <t>Prevention of deceptive practices and consumer protection (TBT); Protection of human health or safety (TBT); Protection of animal or plant life or health (TBT); Protection of the environment (TBT)</t>
  </si>
  <si>
    <d:r xmlns:d="http://schemas.openxmlformats.org/spreadsheetml/2006/main">
      <d:rPr>
        <d:sz val="11"/>
        <d:rFont val="Calibri"/>
      </d:rPr>
      <d:t xml:space="preserve">https://members.wto.org/crnattachments/2024/TBT/CHN/24_05630_00_x.pdf</d:t>
    </d:r>
  </si>
  <si>
    <t>National Standard of the P.R.C., Diesel engine oils</t>
  </si>
  <si>
    <t xml:space="preserve">This document specifies product varieties and marking, technical requirements and test methods, inspection rules and marking, and packaging, transportation, storage, acceptance of delivery of diesel engine oils  that is composed of  refined mineral oil, synthetic oil or a mixture of refined mineral oil and synthetic oil as base oil with several additives._x000D_
This document applies to diesel engine oils used in four stroke diesel engines for automotive, agricultural, industrial, and construction purposes.</t>
  </si>
  <si>
    <t>Diesel engine oils (HS code(s): 271019); (ICS code(s): 75.100)</t>
  </si>
  <si>
    <t>271019 - Medium oils and preparations, of petroleum or bituminous minerals, not containing biodiesel, n.e.s.</t>
  </si>
  <si>
    <t>75.100 - Lubricants, industrial oils and related products</t>
  </si>
  <si>
    <t>Prevention of deceptive practices and consumer protection (TBT); Protection of animal or plant life or health (TBT)</t>
  </si>
  <si>
    <d:r xmlns:d="http://schemas.openxmlformats.org/spreadsheetml/2006/main">
      <d:rPr>
        <d:sz val="11"/>
        <d:rFont val="Calibri"/>
      </d:rPr>
      <d:t xml:space="preserve">https://members.wto.org/crnattachments/2024/TBT/CHN/24_05627_00_x.pdf</d:t>
    </d:r>
  </si>
  <si>
    <t>National Standard of the P.R.C., Aircraft tyres</t>
  </si>
  <si>
    <t>This document specifies the requirements, test methods, marking, storage and use of aircraft tyres.This document applies to new aircraft tyres for civil use.</t>
  </si>
  <si>
    <t>Aircraft tyres (HS code(s): 401130; 401150); (ICS code(s): 83.160.20)</t>
  </si>
  <si>
    <t>401130 - New pneumatic tyres, of rubber, of a kind used for aircraft</t>
  </si>
  <si>
    <t>83.160.20 - Aircraft tyres</t>
  </si>
  <si>
    <d:r xmlns:d="http://schemas.openxmlformats.org/spreadsheetml/2006/main">
      <d:rPr>
        <d:sz val="11"/>
        <d:rFont val="Calibri"/>
      </d:rPr>
      <d:t xml:space="preserve">https://members.wto.org/crnattachments/2024/TBT/CHN/24_05616_00_x.pdf</d:t>
    </d:r>
  </si>
  <si>
    <t>Draft Resolution 1256, 9 May 2024</t>
  </si>
  <si>
    <t>Draft Resolution 1256, 9 May 2024 - previously notified through G/SPS/N/BRA/2304 - was adopted as Normative Instruction 308, 7 August 2024. This draft resolution proposes the update of active ingredients A41 - AMICARBAZONE, A58 - AZADIRACHTA INDICA, B42 – BENTIAVALICARB ISOPROPYLIC, B46 - BENZOVINDIFLUPIR, C18 - CHLOROTHALONIL, C36 - CYPROCONAZOLE, C63 - LAMBDA- CYALOTHRINE, C73 - CIFLUMETOFEM, D21 - DIQUATE, D36 - DIFENOCONAZOLE, E 25 - SPIRODICLOFEN, E34 - SPIDOXAMATE, F46 - FLUMIOXAZINE, F47 - FLUAZINAM, F69 - FLUPYRADIFURONE, I21 - INDOXACARB, I27 - INDAZIFLAM, I34 - ISOPYRAZAM, M19 - METRIBUZIM and P23.1 – PROPAMOCARB HYCLORIDATE on the Monograph List of Active Ingredients for Pesticides, Household Cleaning Products and Wood Preservatives, which was published by Normative Instruction 103 on 19 October 2021 in the Brazilian Official Gazette (DOU - Diário Oficial da União).The final text is available only in Portuguese and can be downloaded at:</t>
  </si>
  <si>
    <t>Adoption/publication/entry into force of reg.; Human health; Food safety; Food safety; Human health</t>
  </si>
  <si>
    <d:r xmlns:d="http://schemas.openxmlformats.org/spreadsheetml/2006/main">
      <d:rPr>
        <d:sz val="11"/>
        <d:rFont val="Calibri"/>
      </d:rPr>
      <d:t xml:space="preserve">https://members.wto.org/crnattachments/2024/SPS/BRA/24_05607_00_x.pdf
https://antigo.anvisa.gov.br/documents/10181/6756081/IN_308_2024_.pdf/9e651b95-707c-4373-bfb0-9a9d1d2f80ad</d:t>
    </d:r>
  </si>
  <si>
    <t>Draft resolution 1273, 22 August 2024</t>
  </si>
  <si>
    <t>This Draft Resolution establishes health warnings and messages to be used on the packaging of smoking products derived from tobacco.</t>
  </si>
  <si>
    <t>TOBACCO AND MANUFACTURED TOBACCO SUBSTITUTES (HS code(s): 24)</t>
  </si>
  <si>
    <t>24 - TOBACCO AND MANUFACTURED TOBACCO SUBSTITUTES; PRODUCTS, WHETHER OR NOT CONTAINING NICOTINE, INTENDED FOR INHALATION WITHOUT COMBUSTION; OTHER NICOTINE CONTAINING PRODUCTS INTENDED FOR THE INTAKE OF NICOTINE INTO THE HUMAN BODY</t>
  </si>
  <si>
    <d:r xmlns:d="http://schemas.openxmlformats.org/spreadsheetml/2006/main">
      <d:rPr>
        <d:sz val="11"/>
        <d:rFont val="Calibri"/>
      </d:rPr>
      <d:t xml:space="preserve">https://members.wto.org/crnattachments/2024/TBT/BRA/24_05653_00_x.pdf</d:t>
    </d:r>
  </si>
  <si>
    <t>Protocolo Análisis y/o ensayos de Seguridad PE Nº8/7:2024 de Equipos electrónicos de audio/video, tecnología de la información y tecnología de la comunicación (Safety analysis and/or test protocol (PE No. 8/7:2024) for electronic audio/video, information technology and communication technology equipment) (11 pages, in Spanish)</t>
  </si>
  <si>
    <t>The notified Protocol establishes the safety certification procedure for electrical products, namely single-function and multifunction laser and inkjet printers for household and office use. It does not apply to the following printers: - Large-format printers (plotters) - Ballot printers - Dot-matrix label printers - Thermal printers - Single-function or multifunction printers that use paper smaller than letter size (A3 size or larger) - 3D printers</t>
  </si>
  <si>
    <t>Electronic audio/video, information technology and communication technology equipment</t>
  </si>
  <si>
    <t>8443 - Printing machinery used for printing by means of plates, cylinders and other printing components of heading 8442 (excl. hectograph or stencil duplicating machines, addressing machines and other office printing machines of heading 8469 to 8472); other printers, copying machines and facsimile machines, whether or not combined; parts thereof</t>
  </si>
  <si>
    <t>35.260 - Office machines</t>
  </si>
  <si>
    <d:r xmlns:d="http://schemas.openxmlformats.org/spreadsheetml/2006/main">
      <d:rPr>
        <d:sz val="11"/>
        <d:rFont val="Calibri"/>
      </d:rPr>
      <d:t xml:space="preserve">https://members.wto.org/crnattachments/2024/TBT/CHL/24_05657_00_s.pdf
https://www.sec.cl/sitio-web/wp-content/uploads/2024/08/PE-No-8-7_2024-Impresora.doc</d:t>
    </d:r>
  </si>
  <si>
    <t>National Standard of the P.R.C., Fluids for electrotechnical applications—Unused mineral insulating oils for transformers and switchgear</t>
  </si>
  <si>
    <t xml:space="preserve">This document specifies the terms and definitions, classification and marking, requirements and test methods, inspection rules and labeling, packaging, transportation, and storage of unused mineral insulating oils._x000D_
This document applies to unused mineral insulation oils containing and without additives obtained from petroleum fractions as raw materials and refined for transformers, switches, and similar electrical equipment that require oil as insulation and heat transfer media. The oil used for the generator can refer to this document.</t>
  </si>
  <si>
    <t>Transformer oil, low temperature switchgear oil (HS code(s): 271019); (ICS code(s): 75.140)</t>
  </si>
  <si>
    <t>75.140 - Waxes, bituminous materials and other petroleum products</t>
  </si>
  <si>
    <d:r xmlns:d="http://schemas.openxmlformats.org/spreadsheetml/2006/main">
      <d:rPr>
        <d:sz val="11"/>
        <d:rFont val="Calibri"/>
      </d:rPr>
      <d:t xml:space="preserve">https://members.wto.org/crnattachments/2024/TBT/CHN/24_05626_00_x.pdf</d:t>
    </d:r>
  </si>
  <si>
    <t>National Standard of the P.R.C., General safety requirements for children’s products</t>
  </si>
  <si>
    <t xml:space="preserve">This document specifies the general safety requirements for products (including trial products and free gifts) designed or intended for use by children under 14 years of age._x000D_
This document applies to the products (including trial products and free gifts) designed or intended for use by children under 14 years of age.</t>
  </si>
  <si>
    <t>Products (including trial products and free gifts) designed or intended for use by children under 14 years of age (HS code(s): 4903; 8715; 9503); (ICS code(s): 97.190; 97.200.50)</t>
  </si>
  <si>
    <t>8715 - Baby carriages and parts thereof.; 9503 - Tricycles, scooters, pedal cars and similar wheeled toys; dolls' carriages; dolls; other toys; reduced-size ("scale") models and similar recreational models, working or not; puzzles of all kinds.; 4903 - Children's picture, drawing or colouring books.</t>
  </si>
  <si>
    <t>97.190 - Equipment for children; 97.200.50 - Toys</t>
  </si>
  <si>
    <d:r xmlns:d="http://schemas.openxmlformats.org/spreadsheetml/2006/main">
      <d:rPr>
        <d:sz val="11"/>
        <d:rFont val="Calibri"/>
      </d:rPr>
      <d:t xml:space="preserve">https://members.wto.org/crnattachments/2024/TBT/CHN/24_05615_00_x.pdf</d:t>
    </d:r>
  </si>
  <si>
    <t>National Standard of the P.R.C., General safety requirements for child care articles</t>
  </si>
  <si>
    <t xml:space="preserve">This document specifies the general safety requirements for child care articles. _x000D_
This document applies to baby care articles which are designed or obviously intended for children of 48 months and below of age as an aid to infant seating, bathing, general care, sleeping, carrying, and child protection.</t>
  </si>
  <si>
    <t>Wheeled child conveyances, baby walking frames, reclined cradles, soothers, infant bouncer seats, cradles, swimming pool sets for baby, playpens and similar cribs, child seats for cycles, safety barriers, infant bath seats, etc. (HS code(s): 8715); (ICS code(s): 97.190)</t>
  </si>
  <si>
    <t>8715 - Baby carriages and parts thereof.</t>
  </si>
  <si>
    <t>97.190 - Equipment for children</t>
  </si>
  <si>
    <d:r xmlns:d="http://schemas.openxmlformats.org/spreadsheetml/2006/main">
      <d:rPr>
        <d:sz val="11"/>
        <d:rFont val="Calibri"/>
      </d:rPr>
      <d:t xml:space="preserve">https://members.wto.org/crnattachments/2024/TBT/CHN/24_05618_00_x.pdf</d:t>
    </d:r>
  </si>
  <si>
    <t>Draft Resolution establishing the conditions for implementing the preventive voluntary vaccination strategy in areas of risk to mitigate highly pathogenic avian influenza (H5N1) in commercial poultry farming The notified measure seeks to establish the conditions for implementing the preventive and authorized voluntary vaccination strategy in areas prioritized by risk in order to mitigate highly pathogenic avian influenza (H5N1) in long-lived poultry in commercial poultry farming. The established provisions shall apply to all natural or legal persons engaged in the rearing and/or marketing of long-lived poultry in Colombia, including egg and avian genetic material production systems, in areas prioritized by risk and who take part in the preventive vaccination programme voluntarily and with prior authorization, together with those who produce, import and/or market biologicals for avian species. https://www.sucop.gov.co/entidades/ica/Normativa?IDNorma=16440 https://members.wto.org/crnattachments/2024/SPS/COL/24_05656_00_s.pdf</t>
  </si>
  <si>
    <t>Aves de corral de larga vida en la avicultura comercial</t>
  </si>
  <si>
    <t>01063 - - Birds:; 01063 - - Birds:</t>
  </si>
  <si>
    <t>Protect humans from animal/plant pest or disease (SPS)</t>
  </si>
  <si>
    <t>Avian Influenza; Animal health; Zoonoses; Animal diseases; Modification of content/scope of regulation; Zoonoses; Animal diseases; Avian Influenza; Animal health</t>
  </si>
  <si>
    <d:r xmlns:d="http://schemas.openxmlformats.org/spreadsheetml/2006/main">
      <d:rPr>
        <d:sz val="11"/>
        <d:rFont val="Calibri"/>
      </d:rPr>
      <d:t xml:space="preserve">https://members.wto.org/crnattachments/2024/SPS/COL/24_05656_00_s.pdf
https://www.sucop.gov.co/entidades/ica/Normativa?IDNorma=16440</d:t>
    </d:r>
  </si>
  <si>
    <t>National Standard of the P.R.C., Gasoline engine oils</t>
  </si>
  <si>
    <t xml:space="preserve">This document specifies product varieties and marking, technical requirements and test methods, inspection rules and marking, packaging, transportation and storage of gasoline engine oils that is composed of  refined mineral oil, synthetic oil or a mixture of refined mineral oil and synthetic oil as base oil with several additives._x000D_
This document applies to gasoline engine oil used in four stroke gasoline engines of automobiles, such as sedans, light trucks, trucks, and buses.</t>
  </si>
  <si>
    <t>Gasoline engine oils (HS code(s): 271019); (ICS code(s): 75.100)</t>
  </si>
  <si>
    <d:r xmlns:d="http://schemas.openxmlformats.org/spreadsheetml/2006/main">
      <d:rPr>
        <d:sz val="11"/>
        <d:rFont val="Calibri"/>
      </d:rPr>
      <d:t xml:space="preserve">https://members.wto.org/crnattachments/2024/TBT/CHN/24_05625_00_x.pdf</d:t>
    </d:r>
  </si>
  <si>
    <t>National Standard of the P.R.C., Cigars</t>
  </si>
  <si>
    <t xml:space="preserve">This document specifies the terms and definitions, classification, technical requirements for sense evaluation, requirements for packaging marks, inspection methods, storage and transportation of cigars. _x000D_
This document applies to cigars.</t>
  </si>
  <si>
    <t>Cigars (HS code(s): 24); (ICS code(s): 65.160)</t>
  </si>
  <si>
    <d:r xmlns:d="http://schemas.openxmlformats.org/spreadsheetml/2006/main">
      <d:rPr>
        <d:sz val="11"/>
        <d:rFont val="Calibri"/>
      </d:rPr>
      <d:t xml:space="preserve">https://members.wto.org/crnattachments/2024/TBT/CHN/24_05623_00_x.pdf</d:t>
    </d:r>
  </si>
  <si>
    <t>National Standard of the P.R.C., Safety requirements of glass for ship and marine</t>
  </si>
  <si>
    <t xml:space="preserve">This document specifies the safety requirements for glass used in ships and marine._x000D_
This document applies to porthole glass, rectangular window tempered glass and electric heating glass for ship and marine.</t>
  </si>
  <si>
    <t>Porthole glass, rectangular window tempered glass and electric heating glass for ship and marine (HS code(s): 700711); (ICS code(s): 81.040.30)</t>
  </si>
  <si>
    <t>700711 - Toughened "tempered" safety glass, of size and shape suitable for incorporation in motor vehicles, aircraft, spacecraft, vessels and other vehicles</t>
  </si>
  <si>
    <t>81.040.30 - Glass products</t>
  </si>
  <si>
    <d:r xmlns:d="http://schemas.openxmlformats.org/spreadsheetml/2006/main">
      <d:rPr>
        <d:sz val="11"/>
        <d:rFont val="Calibri"/>
      </d:rPr>
      <d:t xml:space="preserve">https://members.wto.org/crnattachments/2024/TBT/CHN/24_05620_00_x.pdf</d:t>
    </d:r>
  </si>
  <si>
    <t>Draft resolution 1274, 22 August 2024</t>
  </si>
  <si>
    <t>This Draft Resolution establishes health warnings and messages to be used on displays and displays of smoking products derived from tobacco.</t>
  </si>
  <si>
    <t>TOBACCO AND MANUFACTURED TOBACCO SUBSTITUTES; PRODUCTS, WHETHER OR NOT CONTAINING NICOTINE, INTENDED FOR INHALATION WITHOUT COMBUSTION; OTHER NICOTINE CONTAINING PRODUCTS INTENDED FOR THE INTAKE OF NICOTINE INTO THE HUMAN BODY (HS code(s): 24)</t>
  </si>
  <si>
    <d:r xmlns:d="http://schemas.openxmlformats.org/spreadsheetml/2006/main">
      <d:rPr>
        <d:sz val="11"/>
        <d:rFont val="Calibri"/>
      </d:rPr>
      <d:t xml:space="preserve">https://members.wto.org/crnattachments/2024/TBT/BRA/24_05652_00_x.pdf</d:t>
    </d:r>
  </si>
  <si>
    <t>National Standard of the P.R.C.,Safety technical specifications for construction waterproof coatings</t>
  </si>
  <si>
    <t xml:space="preserve">This document specifies the safety technical requirements and related test methods for building waterproof coatings._x000D_
This document applies to flexible waterproof coatings, cement-based waterproof materials, and other supporting waterproof materials used in construction projects.</t>
  </si>
  <si>
    <t>Waterproof coatings (HS code(s): 271490; 320890; 350691; 382440; 390931; 681189); (ICS code(s): 91.120.30)</t>
  </si>
  <si>
    <t>320890 - Paints and varnishes based, incl. enamels and lacquers, on synthetic polymers or chemically modified natural polymers, dispersed or dissolved in a non-aqueous medium, and solutions of products of headings 3901 to 3913 in volatile organic solvents, containing &gt; 50% solvent by weight (excl. those based on polyesters and acrylic or vinyl polymers and solutions of collodion); 271490 - Bitumen and asphalt, natural; asphaltites and asphaltic rocks; 681189 - Articles of cellulose fibre-cement or the like, not containing asbestos (excl. corrugated and other sheets, panels, tiles and similar articles); 350691 - Adhesives based on polymers of headings 3901 to 3913 or on rubber (excl. put up for retail sale with a net weight of &lt;= 1 kg); 382440 - Prepared additives for cements, mortars or concretes; 390931 - Poly"methylene phenyl isocyanate" "crude MDI, polymeric MDI", in primary forms</t>
  </si>
  <si>
    <t>91.120.30 - Waterproofing</t>
  </si>
  <si>
    <d:r xmlns:d="http://schemas.openxmlformats.org/spreadsheetml/2006/main">
      <d:rPr>
        <d:sz val="11"/>
        <d:rFont val="Calibri"/>
      </d:rPr>
      <d:t xml:space="preserve">https://members.wto.org/crnattachments/2024/TBT/CHN/24_05624_00_x.pdf</d:t>
    </d:r>
  </si>
  <si>
    <t>National Standard of the P.R.C., General safety requirements for children's ride-on and activity articles</t>
  </si>
  <si>
    <t xml:space="preserve">This document specifies the general safety requirements for children's ride-on and  activity articles, including mechanical and physical properties, thermal hazard and flame retardant requirements, chemical safety, electrical safety, product identification, radiation safety, etc._x000D_
This document applies to all children's ride-on and activity articles designed or intended for children under 14 years of age. </t>
  </si>
  <si>
    <t>Children's ride-on and  activity articles. The specific products include but are not limited to children's bicycles, children's tricycles, unicycles, children's electric scooters, variant child tricycle, unicycle for training, etc. (HS code(s): 8712; 9503); (ICS code(s): 97.190)</t>
  </si>
  <si>
    <t>8712 - Bicycles and other cycles (including delivery tricycles), not motorised.; 9503 - Tricycles, scooters, pedal cars and similar wheeled toys; dolls' carriages; dolls; other toys; reduced-size ("scale") models and similar recreational models, working or not; puzzles of all kinds.</t>
  </si>
  <si>
    <d:r xmlns:d="http://schemas.openxmlformats.org/spreadsheetml/2006/main">
      <d:rPr>
        <d:sz val="11"/>
        <d:rFont val="Calibri"/>
      </d:rPr>
      <d:t xml:space="preserve">https://members.wto.org/crnattachments/2024/TBT/CHN/24_05619_00_x.pdf</d:t>
    </d:r>
  </si>
  <si>
    <t>National Standard of the P.R.C.,Feed additive—Part 3:Minerals and their complexes(or Chelates)—Chromium nicotinate</t>
  </si>
  <si>
    <t xml:space="preserve">This document specifies the chemical name, molecular formula, relative molecular weight and chemical formula of chromium nicotinate, specifies the technical requirements, sampling, inspection rules, labeling, packaging, transportation, storage and shelf life of chromium nicotinate as a feed additive, and describes corresponding test methods._x000D_
This document applies to the feed additive chromium nicotinate produced by the reaction of chromium trichloride with nicotinic acid.</t>
  </si>
  <si>
    <t>Chromium nicotinate  (HS code(s): 230990); (ICS code(s): 65.120)</t>
  </si>
  <si>
    <t>230990 - Preparations of a kind used in animal feeding (excl. dog or cat food put up for retail sale)</t>
  </si>
  <si>
    <t>65.120 - Animal feeding stuffs</t>
  </si>
  <si>
    <d:r xmlns:d="http://schemas.openxmlformats.org/spreadsheetml/2006/main">
      <d:rPr>
        <d:sz val="11"/>
        <d:rFont val="Calibri"/>
      </d:rPr>
      <d:t xml:space="preserve">https://members.wto.org/crnattachments/2024/TBT/CHN/24_05633_00_x.pdf</d:t>
    </d:r>
  </si>
  <si>
    <t>Draft Resolution 1251, 2 May 2024</t>
  </si>
  <si>
    <t>Draft Resolution 1251, 2 May 2024 - previously notified through  G/SPS/N/BRA/2301 - was adopted as Normative Instruction 310, 7 August 2024. The regulation proposes the inclusion of active ingredient E34 - SPIDOXAMATE on the Monograph List of Active Ingredients for Pesticides, Household Cleaning Products and Wood Preservatives, which was published by Normative Instruction 103 on 19 October 2021 in the Brazilian Official Gazette (DOU - Diário Oficial da União).The final text is available only in Portuguese and can be downloaded at:</t>
  </si>
  <si>
    <t>Human health; Food safety; Adoption/publication/entry into force of reg.; Food safety; Human health</t>
  </si>
  <si>
    <d:r xmlns:d="http://schemas.openxmlformats.org/spreadsheetml/2006/main">
      <d:rPr>
        <d:sz val="11"/>
        <d:rFont val="Calibri"/>
      </d:rPr>
      <d:t xml:space="preserve">https://members.wto.org/crnattachments/2024/SPS/BRA/24_05606_00_x.pdf
https://antigo.anvisa.gov.br/documents/10181/6751793/IN_310_2024_.pdf/0954357b-c4a8-47b4-9caf-650854ecbd34</d:t>
    </d:r>
  </si>
  <si>
    <t>Draft Malaysian Protocol for the Halal Meat and Poultry Productions .</t>
  </si>
  <si>
    <t>The addendum is for notifying the members on the changes of application method for foreign slaughterhouses and processing plants from manual form to online system through JAKIM International Abattoir Application System (JIAAS) http://myehalal.halal.gov.my/jiaas/v1/</t>
  </si>
  <si>
    <t>Meat, Poultry and their Products (ICS: 67.120; HS Code: 02 - Chapter 2 - Meat and edible meat offal).</t>
  </si>
  <si>
    <t>02 - MEAT AND EDIBLE MEAT OFFAL; 02 - MEAT AND EDIBLE MEAT OFFAL</t>
  </si>
  <si>
    <t>67.120 - Meat, meat products and other animal produce; 67.120 - Meat, meat products and other animal produce</t>
  </si>
  <si>
    <t>National Standard of the P.R.C., Indoor decorating and refurbishing materials—Limit of harmful substances of carpets, carpet underlays, adhesives and polyvinyl chloride flooring</t>
  </si>
  <si>
    <t xml:space="preserve">This document specifies the emission limits and test methods for hazardous substances from carpets, carpet underlays and adhesives, and specifies limits and test methods for hazardous substances in polyvinyl chloride flooring._x000D_
This document applies to newly produced or unused carpets,carpet underlays and adhesives, and applies to the production, quality control, use, and sales of polyvinyl chloride flooring.</t>
  </si>
  <si>
    <t>The new or unused carpets, carpet underlays and adhesives, polyvinyl chloride flooring (HS code(s): 391810; 57); (ICS code(s): 59.080; 83.140)</t>
  </si>
  <si>
    <t>57 - CARPETS AND OTHER TEXTILE FLOOR COVERINGS; 391810 - Floor coverings,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of polymers of vinyl chloride</t>
  </si>
  <si>
    <t>59.080 - Products of the textile industry; 83.140 - Rubber and plastics products</t>
  </si>
  <si>
    <d:r xmlns:d="http://schemas.openxmlformats.org/spreadsheetml/2006/main">
      <d:rPr>
        <d:sz val="11"/>
        <d:rFont val="Calibri"/>
      </d:rPr>
      <d:t xml:space="preserve">https://members.wto.org/crnattachments/2024/TBT/CHN/24_05629_00_x.pdf</d:t>
    </d:r>
  </si>
  <si>
    <t>National Standard of the P.R.C., Safety technical specification for tractors</t>
  </si>
  <si>
    <t xml:space="preserve">This document specifies the safety requirements and/or measures and their verification for the design and construction of tractors, as well as the type of information on safe working practices (including residual risks) to be provided by the manufacturer. _x000D_
This document applies to tractors used in China.</t>
  </si>
  <si>
    <t>Tractor (HS code(s): 8701); (ICS code(s): 65.060.10)</t>
  </si>
  <si>
    <t>8701 - Tractors (other than tractors of heading 8709)</t>
  </si>
  <si>
    <t>65.060.10 - Agricultural tractors and trailed vehicles</t>
  </si>
  <si>
    <d:r xmlns:d="http://schemas.openxmlformats.org/spreadsheetml/2006/main">
      <d:rPr>
        <d:sz val="11"/>
        <d:rFont val="Calibri"/>
      </d:rPr>
      <d:t xml:space="preserve">https://members.wto.org/crnattachments/2024/TBT/CHN/24_05621_00_x.pdf</d:t>
    </d:r>
  </si>
  <si>
    <t>National Standard of the P.R.C., Refrigeration and air-conditioning equipment—Safety technical specification</t>
  </si>
  <si>
    <t xml:space="preserve">This document specifies the general safety requirements for refrigeration and air conditioning equipment, and the safety technical requirements for all aspects of the life cycle including materials, design, manufacturing, installation, use, and maintenance._x000D_
This document does not apply to refrigeration and air conditioning equipment used in automotive air conditioning and marine conditions.</t>
  </si>
  <si>
    <t>Refrigeration and air-conditioning equipment (HS code(s): 8415; 8418); (ICS code(s): 27.200)</t>
  </si>
  <si>
    <t>8415 - Air conditioning machines comprising a motor-driven fan and elements for changing the temperature and humidity, incl. those machines in which the humidity cannot be separately regulated; parts thereof; 8418 - Refrigerators, freezers and other refrigerating or freezing equipment, electric or other; heat pumps; parts thereof (excl. air conditioning machines of heading 8415)</t>
  </si>
  <si>
    <t>27.200 - Refrigerating technology</t>
  </si>
  <si>
    <d:r xmlns:d="http://schemas.openxmlformats.org/spreadsheetml/2006/main">
      <d:rPr>
        <d:sz val="11"/>
        <d:rFont val="Calibri"/>
      </d:rPr>
      <d:t xml:space="preserve">https://members.wto.org/crnattachments/2024/TBT/CHN/24_05622_00_x.pdf</d:t>
    </d:r>
  </si>
  <si>
    <t>ANATEL Act 11264, 2 August 2024, to update the technical requirements for assessing the conformity of access data transmission cables with flexible or solid conductors - categories 7, 7A and 8 with four-pair capacity and categories 3, 5e, 6 and 6A with two or four-pair capacity are approved by Act No. 386, 16 January 2023.</t>
  </si>
  <si>
    <t>National Standard of the P.R.C., Feed additives—Part 8: Preservatives, mildew preventives and acidity regulators—Ammonium chloride</t>
  </si>
  <si>
    <t xml:space="preserve">This document specifies the chemical name, molecular formula and relative molecular weight of ammonium chloride, specifies the technical requirements, sampling, inspection rules, labeling, packaging, transportation, storage and shelf life of ammonium chloride as a feed additive, and describes test methods._x000D_
This document applies to feed additive ammonium chloride, which is produced by combined-soda process using sodium chloride, ammonia (NH3) and carbon dioxide as raw materials, or which is produced by ion exchange method using ammonium salt compound and potassium chloride as raw materials, or which is produced by recrystallization method using industrial or agricultural ammonium chloride produced by above-mentioned process as raw material.</t>
  </si>
  <si>
    <t>Ammonium chloride (HS code(s): 230990); (ICS code(s): 65.120)</t>
  </si>
  <si>
    <d:r xmlns:d="http://schemas.openxmlformats.org/spreadsheetml/2006/main">
      <d:rPr>
        <d:sz val="11"/>
        <d:rFont val="Calibri"/>
      </d:rPr>
      <d:t xml:space="preserve">https://members.wto.org/crnattachments/2024/TBT/CHN/24_05632_00_x.pdf</d:t>
    </d:r>
  </si>
  <si>
    <t>Draft for the Use Restrictions and Labelling Requirements of γ-Aminobutyric Acid Produced by Microbial Fermentation as a Food Ingredient</t>
  </si>
  <si>
    <t>This draft regulation specifies the use restrictions and labelling requirements for the γ-aminobutyric acid (GABA) for food purposes.</t>
  </si>
  <si>
    <t>Food ingredients to be used in food</t>
  </si>
  <si>
    <t>Human health; Food safety; Labelling</t>
  </si>
  <si>
    <d:r xmlns:d="http://schemas.openxmlformats.org/spreadsheetml/2006/main">
      <d:rPr>
        <d:sz val="11"/>
        <d:rFont val="Calibri"/>
      </d:rPr>
      <d:t xml:space="preserve">https://members.wto.org/crnattachments/2024/SPS/TPKM/24_05530_00_e.pdf
https://members.wto.org/crnattachments/2024/SPS/TPKM/24_05530_00_x.pdf</d:t>
    </d:r>
  </si>
  <si>
    <t>National Standard of the P.R.C., Limit of harmful substances of coating materials—Part2：Industrial coatings</t>
  </si>
  <si>
    <t xml:space="preserve">This document specifies the product classification and coating hazard marking, requirements, testing methods, inspection rules, packaging and labelling, and implementation of documents related to the allowable limits of substances harmful to human health and the environment in industrial coatings and their accessory materials._x000D_
This document applies to various industrial coatings and their accessory materials that are applied on-site or in factories, for the decoration, protection, and other functions of substrates such as wood, metal, plastic, concrete, and composite materials.</t>
  </si>
  <si>
    <t>Industrial coatings  (HS code(s): 3208; 3209; 3211; 3214; 3814); (ICS code(s): 87.040)</t>
  </si>
  <si>
    <t>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 3209 - Paints and varnishes, incl. enamels and lacquers, based on synthetic polymers or chemically modified natural polymers, dispersed or dissolved in an aqueous medium; 3211 - Prepared driers.; 3214 - Glaziers' putty, grafting putty, resin cements, caulking compounds and other mastics; painters' fillings; non-refractory surfacing preparations for façades, indoor walls, floors, ceilings or the like; 3814 - Organic composite solvents and thinners, not elsewhere specified or included; prepared paint or varnish removers.</t>
  </si>
  <si>
    <d:r xmlns:d="http://schemas.openxmlformats.org/spreadsheetml/2006/main">
      <d:rPr>
        <d:sz val="11"/>
        <d:rFont val="Calibri"/>
      </d:rPr>
      <d:t xml:space="preserve">https://members.wto.org/crnattachments/2024/TBT/CHN/24_05631_00_x.pdf</d:t>
    </d:r>
  </si>
  <si>
    <t>National Standard of the P.R.C., Safety for outdoor body-building equipment—General requirement</t>
  </si>
  <si>
    <t xml:space="preserve">This document specifies the requirements and verification methods for general principles, materials, structural design, spatial design, functional components, structural integrity, environmental protection, installation and site, safety warnings and instructions for use, management and maintenance, age-appropriate and adaptive additional special requirements._x000D_
This document applies to the research and development, design, manufacture, installation and maintenance, inspection and certification of outdoor body-building equipment.</t>
  </si>
  <si>
    <t>Outdoor body-building equipment (HS code(s): 950691); (ICS code(s): 97.220.40)</t>
  </si>
  <si>
    <t>950691 - Articles and equipment for general physical exercise, gymnastics or athletics</t>
  </si>
  <si>
    <t>97.220.40 - Outdoor and water sports equipment</t>
  </si>
  <si>
    <d:r xmlns:d="http://schemas.openxmlformats.org/spreadsheetml/2006/main">
      <d:rPr>
        <d:sz val="11"/>
        <d:rFont val="Calibri"/>
      </d:rPr>
      <d:t xml:space="preserve">https://members.wto.org/crnattachments/2024/TBT/CHN/24_05635_00_x.pdf</d:t>
    </d:r>
  </si>
  <si>
    <t>National Standard of the P.R.C., Feed additive—Part13: Others—Bile acids</t>
  </si>
  <si>
    <t xml:space="preserve">This document specifies the chemical name, molecular formula, relative molecular weight and chemical structure of bile acids, specifies the technical requirements, sampling, inspection rules, labeling, packaging, transportation, storage and shelf life of bile acids as a feed additive, and describes the test methods._x000D_
This document applies to the feed additive bile acids produced by saponification, decolorization, acidification, purification, drying and other processing of technologies from pig bile paste after extraction of bilirubin. It mainly consists of hyocholic acid, hyodeoxycholic acid and chenodeoxycholic acid.</t>
  </si>
  <si>
    <t>Bile acids (HS code(s): 230990); (ICS code(s): 65.120)</t>
  </si>
  <si>
    <d:r xmlns:d="http://schemas.openxmlformats.org/spreadsheetml/2006/main">
      <d:rPr>
        <d:sz val="11"/>
        <d:rFont val="Calibri"/>
      </d:rPr>
      <d:t xml:space="preserve">https://members.wto.org/crnattachments/2024/TBT/CHN/24_05634_00_x.pdf</d:t>
    </d:r>
  </si>
  <si>
    <t>Draft - To establish phytosanitary requirements for the import of cut flowers (Category 3) of gypsophila Gypsophila paniculata) produced in Peru</t>
  </si>
  <si>
    <t>Proposal to establish phytosanitary requirements for the import of cut flowers (Category 3) of gypsophila Gypsophila paniculata) produced in Peru.</t>
  </si>
  <si>
    <t>Cut flowers (Category 3) of gypsophila Gypsophila paniculata</t>
  </si>
  <si>
    <t>0603 - Cut flowers and flower buds of a kind suitable for bouquets or for ornamental purposes, fresh, dried, dyed, bleached, impregnated or otherwise prepared</t>
  </si>
  <si>
    <d:r xmlns:d="http://schemas.openxmlformats.org/spreadsheetml/2006/main">
      <d:rPr>
        <d:sz val="11"/>
        <d:rFont val="Calibri"/>
      </d:rPr>
      <d:t xml:space="preserve">https://members.wto.org/crnattachments/2024/SPS/BRA/24_05646_00_x.pdf</d:t>
    </d:r>
  </si>
  <si>
    <t>Review of the biosecurity risks of prawns imported from all countries for human consumption – Final report</t>
  </si>
  <si>
    <t>The Australian Government Department of Agriculture, Fisheries and Forestry has released the draft report for the Review of live marine ornamental fish import policy for comment.The draft report assesses the risk of pathogenic agents associated with species on the department’s List of permitted live marine ornamental fish suitable for import found on our Biosecurity Import Conditions System (BICON).The draft report proposes that live marine ornamental fish, including fish sourced from captive bred populations, can be permitted import into Australia, provided they comply with a range of biosecurity measures, including pre- and post-arrival quarantine and sourcing from disease-free populations. These measures are supported by risk assessments, meet Australia's international rights and obligations, and are necessary to protect the health of Australian fish.The draft report will be accessible at https://haveyoursay.agriculture.gov.au. Trading partners are invited to provide comments on the draft report until 28 October 2024 (60-day comment period).The department will carefully consider all comments while preparing the final report.</t>
  </si>
  <si>
    <t>Live marine ornamental fish</t>
  </si>
  <si>
    <t>030119 - Live ornamental fish (excl. freshwater); 030111 - Live ornamental freshwater fish</t>
  </si>
  <si>
    <d:r xmlns:d="http://schemas.openxmlformats.org/spreadsheetml/2006/main">
      <d:rPr>
        <d:sz val="11"/>
        <d:rFont val="Calibri"/>
      </d:rPr>
      <d:t xml:space="preserve">https://haveyoursay.agriculture.gov.au/ornamental-fish</d:t>
    </d:r>
  </si>
  <si>
    <t>Prohibición del registro, importación, exportación, fabricación, formulación, almacenamiento, distribución, transporte, reempaque, reenvase, manipulación, venta, mezcla y uso del ingrediente activo de grado técnico y plaguicidas sintéticas formulados que contengan el ingrediente activo clorotalonil (Ban on the registration, importation, exportation, manufacture, formulation, storage, distribution, transportation, repacking, repackaging, handling, sale, blending and use of the technical grade active ingredient and formulated synthetic pesticides containing the active ingredient chlorothalonil) (6 pages, in Spanish)</t>
  </si>
  <si>
    <t>The purpose of the notified Decree is to prohibit the registration, importation, exportation, manufacture, formulation, storage, distribution, transportation, repacking, repackaging, handling, sale, blending and use of raw materials and formulated products containing the active ingredient chlorothalonil.</t>
  </si>
  <si>
    <t>2926907074</t>
  </si>
  <si>
    <t>292690 - Nitrile-function compounds (excl. acrylonitrile, 1-cyanoguanidine "dicyandiamide", fenproporex "INN" and its salts, methadone "INN"-intermediate "4-cyano-2-dimethylamino-4,4-diphenylbutane" and alpha-Phenylacetoacetonitrile)</t>
  </si>
  <si>
    <t>65.100 - Pesticides and other agrochemicals</t>
  </si>
  <si>
    <d:r xmlns:d="http://schemas.openxmlformats.org/spreadsheetml/2006/main">
      <d:rPr>
        <d:sz val="11"/>
        <d:rFont val="Calibri"/>
      </d:rPr>
      <d:t xml:space="preserve">https://members.wto.org/crnattachments/2024/TBT/CRI/24_05578_00_s.pdf</d:t>
    </d:r>
  </si>
  <si>
    <t>Draft - Establishes phytosanitary requirements for the import of sesame seeds from Israel</t>
  </si>
  <si>
    <t>Proposal to establish the phytosanitary requirements for the import of seeds (Category 4) of sesame (Sesamum indicum) from Israel.</t>
  </si>
  <si>
    <t>Sesame seeds</t>
  </si>
  <si>
    <t>120740 - Sesamum seeds, whether or not broken</t>
  </si>
  <si>
    <d:r xmlns:d="http://schemas.openxmlformats.org/spreadsheetml/2006/main">
      <d:rPr>
        <d:sz val="11"/>
        <d:rFont val="Calibri"/>
      </d:rPr>
      <d:t xml:space="preserve">https://members.wto.org/crnattachments/2024/SPS/BRA/24_05605_00_e.pdf
https://members.wto.org/crnattachments/2024/SPS/BRA/24_05605_00_x.pdf</d:t>
    </d:r>
  </si>
  <si>
    <t>Draft Resolution 1255, 9 May 2024</t>
  </si>
  <si>
    <t>Draft Resolution 1255, 9 May 2024 - previously notified through  G/SPS/N/BRA/2302  - was adopted as Normative Instruction 309, 7 August 2024. This resolution proposes the inclusion of active ingredient M55-METARYLPICOXAMIDE on the Monograph List of Active Ingredients for Pesticides, Household Cleaning Products and Wood Preservatives, which was published by Normative Instruction 103 on 19 October 2021 in the Brazilian Official Gazette (DOU - Diário Oficial da União).The final text is available only in Portuguese and can be downloaded at:</t>
  </si>
  <si>
    <t>Food safety; Human health; Adoption/publication/entry into force of reg.; Human health; Food safety</t>
  </si>
  <si>
    <d:r xmlns:d="http://schemas.openxmlformats.org/spreadsheetml/2006/main">
      <d:rPr>
        <d:sz val="11"/>
        <d:rFont val="Calibri"/>
      </d:rPr>
      <d:t xml:space="preserve">https://members.wto.org/crnattachments/2024/SPS/BRA/24_05608_00_x.pdf
https://antigo.anvisa.gov.br/documents/10181/6754357/IN_309_2024_.pdf/6d1feb0a-3659-4e4b-9402-948f959fdf54</d:t>
    </d:r>
  </si>
  <si>
    <t>Protocolo Análisis y/o ensayos de Seguridad PE Nº6/03:2024 Esmeriladora, Pulidora de disco, Lijadora de disco (Safety analysis and/or test protocol (PE No. 6/03:2024) for grinders, disk-type polishers and disk-type sanders) (11 pages, in Spanish)</t>
  </si>
  <si>
    <t>The notified Protocol establishes the safety certification procedure for electric grinders, disk-type polishers and disk-type sanders with a nominal capacity not exceeding 230 mm</t>
  </si>
  <si>
    <t>Grinders, disk-type sanders and disk-type polishers</t>
  </si>
  <si>
    <t>25.080.50 - Grinding and polishing machines; 25.140.20 - Electric tools</t>
  </si>
  <si>
    <d:r xmlns:d="http://schemas.openxmlformats.org/spreadsheetml/2006/main">
      <d:rPr>
        <d:sz val="11"/>
        <d:rFont val="Calibri"/>
      </d:rPr>
      <d:t xml:space="preserve">https://members.wto.org/crnattachments/2024/TBT/CHL/24_05586_00_s.pdf
https://www.sec.cl/sitio-web/wp-content/uploads/2024/08/PE-No6-03_2024-Esmeriladora-Lijadora-de-disco-Pulidora-de-disco.doc</d:t>
    </d:r>
  </si>
  <si>
    <t>Draft Resolution of the Cabinet of Ministers of Ukraine ‘On Amendments to Annex 1 to the Technical Regulation on Safety of Machinery and to the Technical Regulation for Noise Emission in the Environment by Equipment for Use Outdoors’</t>
  </si>
  <si>
    <t xml:space="preserve">The draft Resolution provides for:_x000D_
- updating the reference in Annex 1 of the Technical Regulation on Safety of Machinery to align with the Order of the Ministry of Economy No. 1268 of 09 March 2023 that specifies the requirements for the provision of health and safety signs at work;_x000D_
- amending the Technical Regulation for Noise Emission in the Environment by Equipment for Use Outdoors by adding provisions for providing certain information used in the conformity assessment procedure for the relevant type of equipment to the European Commission or the Member States of the European Union, and revising  Annex 3 to the Technical Regulation in accordance with Commission Delegated Regulation (EU) 2024/1208 of 16 November 2023 amending Directive 2000/14/EC of the European Parliament and of the Council as regards the methods to measure airborne noise emitted by equipment for use outdoors.</t>
  </si>
  <si>
    <t>Equipment used on construction sites, in parks, and gardens, such as chainsaws, cranes, dump trucks, excavators, lawnmowers, leaf blowers, electric generators, etc.</t>
  </si>
  <si>
    <t>65.060 - Agricultural machines, implements and equipment; 91.220 - Construction equipment</t>
  </si>
  <si>
    <t>Protection of human health or safety (TBT); Protection of the environment (TBT); Quality requirements (TBT); Harmonization (TBT)</t>
  </si>
  <si>
    <d:r xmlns:d="http://schemas.openxmlformats.org/spreadsheetml/2006/main">
      <d:rPr>
        <d:sz val="11"/>
        <d:rFont val="Calibri"/>
      </d:rPr>
      <d:t xml:space="preserve">https://members.wto.org/crnattachments/2024/TBT/UKR/24_05585_00_x.pdf
https://me.gov.ua/Documents/Detail?lang=uk-UA&amp;id=424b9421-44aa-47f0-8b31-5e0ac14be770&amp;title=ProktPostanoviKabinetuMinistrivUkrainiproVnesenniaZminUDodatok1-DoTekhnichnogoReglamentuBezpekiMashinTaDoTekhnichnogoReglamentuShumovogoViprominiuvanniaUNavkolishnSeredovischeVidObladnannia-SchoVikoristovutsiaZzovniPrimischen</d:t>
    </d:r>
  </si>
  <si>
    <t>Modernization of Passenger Information Requirements Relating to “No Smoking” Sign Illumination</t>
  </si>
  <si>
    <t>Direct final rule; request for comments - The Federal Aviation Administration (FAA) is amending its regulations to allow aircraft to operate either with “No Smoking” signs continuously illuminated or with “No Smoking” signs a crewmember can turn on and off. Currently, crewmembers must be able to manually turn aircraft “No Smoking” signs on and off. However, the current regulations were drafted when the Department of Transportation (DOT) permitted smoking at times on commercial flights. These amendments bring FAA regulations into alignment with current practice for aircraft manufacturing and operations.</t>
  </si>
  <si>
    <t>Aircraft no smoking signs; Public information symbols. Signs. Plates. Labels (ICS code(s): 01.080.10); Aircraft and space vehicles in general (ICS code(s): 49.020)</t>
  </si>
  <si>
    <t>01.080.10 - Public information symbols. Signs. Plates. Labels; 49.020 - Aircraft and space vehicles in general</t>
  </si>
  <si>
    <d:r xmlns:d="http://schemas.openxmlformats.org/spreadsheetml/2006/main">
      <d:rPr>
        <d:sz val="11"/>
        <d:rFont val="Calibri"/>
      </d:rPr>
      <d:t xml:space="preserve">https://members.wto.org/crnattachments/2024/TBT/USA/24_05613_00_e.pdf</d:t>
    </d:r>
  </si>
  <si>
    <t>Establece requisitos fitosanitarios para la importación a Chile de frutos frescos para consumo de Limón sutil (Citrus aurantifolia) y limón tahití (Citrus latifolia), producidos en Ecuador (Establishing phytosanitary requirements governing the importation into Chile of fresh key limes (Citrus aurantifolia) and Tahiti limes (Citrus latifolia) for consumption from Ecuador)</t>
  </si>
  <si>
    <t>The notified document establishes phytosanitary requirements governing the importation into Chile of fresh key limes (Citrus aurantifolia) and Tahiti limes (Citrus latifolia) produced in Ecuador, including: • To enter the country, consignments must be covered by an official phytosanitary certificate issued by the Ecuadorian plant health authority. This document must contain the additional declarations established in the notified draft; • Consignments of fresh Citrus aurantifolia and Citrus latifolia must come from production and packing facilities registered by the Ecuadorian national plant protection organization (NPPO) and authorized through unique identification codes, in accordance with the guidelines from its certification programme; • Consignments must come from production facilities subject to monitoring for the fruit flies identified in the draft; • Requirements for the colouring and condition of the fruit surface are detailed; • Aspects relating to the preparation of fruit and consignments, identification, phytosanitary inspection and storage, among others, are all mentioned in the draft. Further details can be found in the document attached to this notification.</t>
  </si>
  <si>
    <t>Key limes (Citrus aurantifolia) and Tahiti limes (Citrus latifolia)</t>
  </si>
  <si>
    <t>080550 - Fresh or dried lemons "Citrus limon, Citrus limonum" and limes "Citrus aurantifolia, Citrus latifolia"</t>
  </si>
  <si>
    <d:r xmlns:d="http://schemas.openxmlformats.org/spreadsheetml/2006/main">
      <d:rPr>
        <d:sz val="11"/>
        <d:rFont val="Calibri"/>
      </d:rPr>
      <d:t xml:space="preserve">https://members.wto.org/crnattachments/2024/SPS/CHL/24_05604_00_s.pdf</d:t>
    </d:r>
  </si>
  <si>
    <t>Informe técnico para la actualización del estándar mínimo de eficiencia energética de refrigeradores domésticos (Technical report for updating the minimum energy efficiency standard for household refrigerators) (33 pages, in Spanish)</t>
  </si>
  <si>
    <t>The minimum energy efficiency standard for refrigerators is in force and corresponds to that established in Resolution No. 74 of 2014 of the Ministry of Energy, on the basis of the limits established on the 2007 energy efficiency label for refrigerators. As a result of the updating of the test protocols and of the limits on the energy efficiency label, in line with international procedures, there is a need to update the limits of the energy efficiency standard for household refrigerators.</t>
  </si>
  <si>
    <t>Refrigerators, refrigerator-freezers and freezers for household use</t>
  </si>
  <si>
    <t>97.040.30 - Domestic refrigerating appliances</t>
  </si>
  <si>
    <d:r xmlns:d="http://schemas.openxmlformats.org/spreadsheetml/2006/main">
      <d:rPr>
        <d:sz val="11"/>
        <d:rFont val="Calibri"/>
      </d:rPr>
      <d:t xml:space="preserve">https://members.wto.org/crnattachments/2024/TBT/CHL/24_05612_00_s.pdf
</d:t>
    </d:r>
  </si>
  <si>
    <t>Import suspension of live poultry, poultry meat or egg products from part of the United States of America</t>
  </si>
  <si>
    <t>In order to prevent the introduction of High Pathogenicity Avian Influenza (HPAI) virus into Japan, MAFF has taken import suspension measures based on Articles 37 and 44 of the "Act on Domestic Animal Infectious Disease Control" and other relevant requirements.</t>
  </si>
  <si>
    <t>Live poultry, poultry meat or egg products</t>
  </si>
  <si>
    <t>0407 - Birds' eggs, in shell, fresh, preserved or cooked; 0207 - Meat and edible offal of fowls of the species Gallus domesticus, ducks, geese, turkeys and guinea fowls, fresh, chilled or frozen; 0105 - Live poultry, "fowls of the species Gallus domesticus, ducks, geese, turkeys and guinea fowls"</t>
  </si>
  <si>
    <t>Animal diseases; Animal health; Zoonoses; Avian Influenza</t>
  </si>
  <si>
    <d:r xmlns:d="http://schemas.openxmlformats.org/spreadsheetml/2006/main">
      <d:rPr>
        <d:sz val="11"/>
        <d:rFont val="Calibri"/>
      </d:rPr>
      <d:t xml:space="preserve">https://members.wto.org/crnattachments/2024/SPS/JPN/24_05574_00_e.pdf</d:t>
    </d:r>
  </si>
  <si>
    <t>UAE GCC Technical Regulation for Processed Tomato Concentrates</t>
  </si>
  <si>
    <t>The standard is concerned with processed tomato concentrates and offered for direct consumption, including for catering purposes or for repacking if required. The Standard does not include products that contain seeds and skins and it does not include tomato (ketchup), tomato sauce, or similar products, which are highly seasoned products of varying concentrations, containing ingredients such as pepper, onions vinegar, sugar, etc. in quantities materially alter the flavour, aroma and taste of the tomato component.</t>
  </si>
  <si>
    <d:r xmlns:d="http://schemas.openxmlformats.org/spreadsheetml/2006/main">
      <d:rPr>
        <d:sz val="11"/>
        <d:rFont val="Calibri"/>
      </d:rPr>
      <d:t xml:space="preserve">https://members.wto.org/crnattachments/2024/TBT/ARE/24_05565_00_x.pdf</d:t>
    </d:r>
  </si>
  <si>
    <t>Federal Motor Vehicle Safety Standards; Occupant Crash Protection</t>
  </si>
  <si>
    <t xml:space="preserve">This final rule amends Federal Motor Vehicle Safety Standard (FMVSS) No. 208, “Occupant crash protection,” updating the child restraint systems (CRSs) listed in the standard. NHTSA uses the CRSs to test the performance of advanced air bag suppression and low risk deployment systems in either suppressing or deploying the air bag in a low-risk manner in the presence of a CRS. The amendments will ensure that the CRSs used by NHTSA to test advanced air bags are representative of the current CRS market and will make it easier for vehicle manufacturers and test laboratories to acquire CRSs for testing purposes.Effective date: 21 October 2024.    Petition for reconsideration: If you wish to petition for reconsideration of this rule, your petition must be received by 7 October 2024.Compliance date: This final rule adopts a phase-in of the revised appendix. The phase-in begins on 1 September 2025, when forty percent of a manufacturer's applicable light vehicles must comply with the revised appendix. By 1 September 2026, all applicable light vehicles must comply with the revised appendix. We are also allowing optional early compliance.89 Federal Register (FR) 67869, Title 49 Code of Federal Regulations (CFR) Parts 571 and 585_x000D_
https://www.govinfo.gov/content/pkg/FR-2024-08-22/html/2024-18114.htm_x000D_
https://www.govinfo.gov/content/pkg/FR-2024-08-22/pdf/2024-18114.pdf_x000D_
This final rule is identified by Docket Number NHTSA-2024-0038 and the notice of proposed rulemaking notified as G/TBT/N/USA/1666 is identified by Docket Number NHTSA-2020-0094. The Docket Folders are available on Regulations.gov at https://www.regulations.gov/document/NHTSA-2024-0038-0001 and https://www.regulations.gov/document/NHTSA-2020-0094-0001 and provide access to primary documents as well as comments received. Documents are also accessible from Regulations.gov by searching the Docket Number. WTO Members and their stakeholders wishing to petition for reconsideration of this rule, please submit your petition to the USA TBT Enquiry Point by 4pmEastern Time on 7 October 2024.</t>
  </si>
  <si>
    <t>Occupant crash protection, air bags</t>
  </si>
  <si>
    <t>03.120 - Quality; 03.120 - Quality; 19.060 - Mechanical testing; 19.060 - Mechanical testing; 43.040.80 - Crash protection and restraint systems; 43.040.80 - Crash protection and restraint systems</t>
  </si>
  <si>
    <d:r xmlns:d="http://schemas.openxmlformats.org/spreadsheetml/2006/main">
      <d:rPr>
        <d:sz val="11"/>
        <d:rFont val="Calibri"/>
      </d:rPr>
      <d:t xml:space="preserve">https://members.wto.org/crnattachments/2024/TBT/USA/final_measure/24_05564_00_e.pdf</d:t>
    </d:r>
  </si>
  <si>
    <t xml:space="preserve">Pesticide Tolerances; Implementing Registration Review Decisions 
for Certain Pesticides; Terbacil, et al. Proposed Rule</t>
  </si>
  <si>
    <t>EPA is proposing several tolerance actions that the Agency previously determined were necessary or appropriate during registration review for the following pesticide active ingredients: terbacil, bromacil, metolachlor and S-metolachlor, etridiazole, triclopyr, deltamethrin, cyfluthrin and isomer beta-cyfluthrin, cyproconazole, fluroxypyr, pyraflufen-ethyl, etoxazole, acequinocyl, pinoxaden, flonicamid, and d-phenothrin. The proposed tolerance actions for each pesticide active ingredient may include but are not limited to the following types of actions:Revising tolerance expressions; Modifying commodity definitions; Updating crop groups; Removing expired tolerances; Revoking tolerances that are no longer needed; and Harmonizing tolerances with Codex Maximum Residue Levels (MRLs).    Although they may not have been identified in the registration review of a particular pesticide, this rule also includes proposals to reflect the Agency's 2019 adoption of the Organization of Economic Cooperation and Development (OECD) Rounding Class Practice. Where applicable, these adjustments are proposed for specific pesticides as reflected in the proposed regulatory text section.There is no Codex MRL for Terbacil. EPA harmonizes with Codex where possible, but for some of the MRLs (tolerance) in question, the data provided to EPA support a different MRL than Codex. Please refer to the Federal Register Notice for full information regarding which MRLs are harmonized and which are not.</t>
  </si>
  <si>
    <d:r xmlns:d="http://schemas.openxmlformats.org/spreadsheetml/2006/main">
      <d:rPr>
        <d:sz val="11"/>
        <d:rFont val="Calibri"/>
      </d:rPr>
      <d:t xml:space="preserve">https://www.govinfo.gov/content/pkg/FR-2024-07-22/html/2024-13975.htm</d:t>
    </d:r>
  </si>
  <si>
    <t>Use of Supplemental Restraint Systems</t>
  </si>
  <si>
    <t>This rule prohibits civil aircraft operations conducted with supplemental restraint systems (SRS) unless operators meet certain requirements for ensuring passenger and crewmember safety during all phases of the operation. The FAA expects these requirements to increase the safety of individuals on board civil aircraft operations conducted with SRS. This rule addresses recommendations from the National Transportation Safety Board and the Department of Transportation Office of Inspector General. Additionally, this rule will codify, with updates, an Emergency Order of Prohibition currently in effect addressing safety concerns regarding the use of supplemental restraints. The rule applies to all civil aircraft operations conducted with use of SRS. The rule does not apply to parachute operations, rotorcraft external-load operations, or public aircraft operations.Effective 21 October 2024.89 Federal Register (FR) 67834, Title 14 Code of Federal Regulations (CFR) Parts 11191135, and 136https://www.govinfo.gov/content/pkg/FR-2024-08-22/html/2024-18545.htmhttps://www.govinfo.gov/content/pkg/FR-2024-08-22/pdf/2024-18545.pdfThis final rule and the proposed rule notified as G/TBT/N/USA/2069 are identified by Docket Number FAA-2023-2250. The Docket Folder is available on Regulations.gov at https://www.regulations.gov/docket/FAA-2023-2250/document and provides access to primary and supporting documents as well as comments received. Documents are also accessible from Regulations.gov by searching the Docket Number.</t>
  </si>
  <si>
    <t>Restraint devices used to secure individuals inside an aircraft when not properly secured by FAA-approved seat belts and, if installed, shoulder harnesses or approved child restraint systems; Passenger and cabin equipment (ICS code(s): 49.095)</t>
  </si>
  <si>
    <t>49.095 - Passenger and cabin equipment; 49.095 - Passenger and cabin equipment</t>
  </si>
  <si>
    <d:r xmlns:d="http://schemas.openxmlformats.org/spreadsheetml/2006/main">
      <d:rPr>
        <d:sz val="11"/>
        <d:rFont val="Calibri"/>
      </d:rPr>
      <d:t xml:space="preserve">https://members.wto.org/crnattachments/2024/TBT/USA/final_measure/24_05563_00_e.pdf</d:t>
    </d:r>
  </si>
  <si>
    <t xml:space="preserve">Safety Standard for Infant and Infant/Toddler Rockers; 
Supplemental Information; Notice of Availability and Request for 
Comment</t>
  </si>
  <si>
    <t xml:space="preserve">The U.S. Consumer Product Safety Commission (Commission or CPSC) published a notice of proposed rulemaking (NPR) (notified as G/TBT/N/USA/2061) in October 2023 to address risks of death and injury associated with infant suffocations, falls, and other hazards associated with infant and infant/toddler rockers (rockers). CPSC announces the availability of, and seeks comment on, details about incident data relevant to the rulemaking and associated with infant and toddler rocker use. CPSC also seeks comment on a standard tessellation language (STL) file (used in computer-aided design) for a firmness test fixture proposed in the NPR, and a updated version of the voluntary standard for rockers.Submit comments by 23 September 2024.89 Federal Register (FR) 67917, Title 16 Code of Federal Regulations (CFR) Parts 11121130, and 1240:_x000D_
https://www.govinfo.gov/content/pkg/FR-2024-08-22/html/2024-18133.htm_x000D_
https://www.govinfo.gov/content/pkg/FR-2024-08-22/pdf/2024-18133.pdfThis action and the proposed rule notified as G/TBT/N/USA/2061 are identified by Docket Number CPSC-2023-0046. The Docket Folder is available on Regulations.gov at https://www.regulations.gov/docket/CPSC-2023-0046/document and provides access to primary and supporting documents as well as comments received. Documents are also accessible from Regulations.gov by searching the Docket Number. Comments received by the USA TBT Enquiry Point from WTO Members and their stakeholders by 4pmEastern Time on 23 September 2024 will be shared with CPSC and will also be submitted to the Docket on Regulations.gov if received within the comment period.</t>
  </si>
  <si>
    <t>Infant and infant/toddler rockers; Quality (ICS code(s): 03.120); Domestic safety (ICS code(s): 13.120); Furniture (ICS code(s): 97.140); Equipment for children (ICS code(s): 97.190)</t>
  </si>
  <si>
    <t>03.120 - Quality; 13.120 - Domestic safety; 97.140 - Furniture; 97.190 - Equipment for children; 03.120 - Quality; 13.120 - Domestic safety; 97.140 - Furniture; 97.190 - Equipment for children</t>
  </si>
  <si>
    <d:r xmlns:d="http://schemas.openxmlformats.org/spreadsheetml/2006/main">
      <d:rPr>
        <d:sz val="11"/>
        <d:rFont val="Calibri"/>
      </d:rPr>
      <d:t xml:space="preserve">https://members.wto.org/crnattachments/2024/TBT/USA/modification/24_05562_00_e.pdf</d:t>
    </d:r>
  </si>
  <si>
    <t>Establishment by the National Animal Health Service of maximum levels of chemical contaminants permitted in products of animal origin for human consumption Costa Rica hereby advises of the entry into force, on 11 June 2024, of the phytosanitary measures notified in document G/SPS/N/CRI/263, adopted pursuant to Resolution SENASA-DG-R00021-2024. - Directorate-General of the National Animal Health Service, 10 a.m. on 28 May 2024, Food and raw materials of animal origin for the processing of food for human consumption. The draft version of the Resolution was circulated on 15 March 2024. https://members.wto.org/crnattachments/2024/SPS/CRI/24_05573_00_s.pdf</t>
  </si>
  <si>
    <t>Todos los alimentos y materias primas de origen animal para la elaboración de alimentos destinados al consumo humano</t>
  </si>
  <si>
    <t>Contaminants; Human health; Food safety; Maximum residue limits (MRLs); Toxins; Adoption/publication/entry into force of reg.; Contaminants; Toxins; Maximum residue limits (MRLs); Food safety; Human health</t>
  </si>
  <si>
    <d:r xmlns:d="http://schemas.openxmlformats.org/spreadsheetml/2006/main">
      <d:rPr>
        <d:sz val="11"/>
        <d:rFont val="Calibri"/>
      </d:rPr>
      <d:t xml:space="preserve">https://members.wto.org/crnattachments/2024/SPS/CRI/24_05573_00_s.pdf</d:t>
    </d:r>
  </si>
  <si>
    <t>Proyecto de Resolución Directoral que establece los requisitos fitosanitarios para la importación de maquinaria y equipos agrícolas usados, que ingresen o transiten a través del Perú (Draft Directorial Resolution establishing the phytosanitary import requirements for used agricultural machinery and equipment entering or transiting through Peru)</t>
  </si>
  <si>
    <t>The notified draft Directorial Resolution sets out the phytosanitary requirements for used agricultural machinery and equipment entering or transiting through Peru, irrespective of the quantity, use, country of origin, country of shipment and customs regime.</t>
  </si>
  <si>
    <t>Used agricultural machinery and equipment (HS codes: 8424; 8432; 8433; 8436; 8437; 8701)</t>
  </si>
  <si>
    <t>8424 - 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 8432 - Agricultural, horticultural or forestry machinery for soil preparation or cultivation (excl. sprayers and dusters); lawn or sports-ground rollers; parts thereof; 8433 - Harvesting or threshing machinery, incl. straw or fodder balers; grass or hay mowers; machines for cleaning, sorting or grading eggs, fruit or other agricultural produce; parts thereof (other than machines for cleaning, sorting or grading seed, grain or dried leguminous vegetables of heading 8437); 8436 - Agricultural, horticultural, forestry, poultry-keeping or bee-keeping machinery, incl. germination plant fitted with mechanical or thermal equipment; poultry incubators and brooders; parts thereof; 8437 - Machines for cleaning, sorting or grading seed, grain or dried leguminous vegetables; machinery used in the milling industry or for the working of cereals or dried leguminous vegetables (excl. farm-type machinery, heat treatment equipment, centrifugal dryers and air filters); parts thereof; 8701 - Tractors (other than tractors of heading 8709)</t>
  </si>
  <si>
    <d:r xmlns:d="http://schemas.openxmlformats.org/spreadsheetml/2006/main">
      <d:rPr>
        <d:sz val="11"/>
        <d:rFont val="Calibri"/>
      </d:rPr>
      <d:t xml:space="preserve">https://members.wto.org/crnattachments/2024/SPS/PER/24_05528_00_s.pdf
Disponible en español en:
https://www.gob.pe/institucion/senasa/campa%C3%B1as/4831-consulta-publica-importaciones</d:t>
    </d:r>
  </si>
  <si>
    <t>Kasugamycin; Pesticide Tolerances. Final Rule</t>
  </si>
  <si>
    <t xml:space="preserve">This regulation establishes tolerances for residues of 
kasugamycin in or on tea, dried. UPL Delaware, Inc. (UPL) requested 
these tolerances under the Federal Food, Drug, and Cosmetic Act 
(FFDCA).</t>
  </si>
  <si>
    <t>Tea, dried</t>
  </si>
  <si>
    <d:r xmlns:d="http://schemas.openxmlformats.org/spreadsheetml/2006/main">
      <d:rPr>
        <d:sz val="11"/>
        <d:rFont val="Calibri"/>
      </d:rPr>
      <d:t xml:space="preserve">https://www.govinfo.gov/content/pkg/FR-2024-08-12/html/2024-17805.htm</d:t>
    </d:r>
  </si>
  <si>
    <t>Publication of RSS-123Issue 5Personal Communications Service Equipment Operating in the Bands 1850-1915 MHz and 1930-1995 MHz</t>
  </si>
  <si>
    <t>Notice is hereby given that Innovation, Science and Economic Development Canada (ISED) has published the following document:Radio Standards Specification RSS-123, Issue 5, Licensed Wireless Microphones sets out the certification requirements for licensed wireless microphones which includes wireless multichannel audio systems (WMAS).</t>
  </si>
  <si>
    <t>Telecommunications (ICS 33.170)</t>
  </si>
  <si>
    <t>33.170 - Television and radio broadcasting; 33.170 - Television and radio broadcasting</t>
  </si>
  <si>
    <t>Nicaragua</t>
  </si>
  <si>
    <t>NTON 04001 Eficiencia energética. Acondicionadores de aire. Procedimiento para la demostración de la conformidad (Nicaraguan Mandatory Technical Standard (NTON) No. 04001: Energy efficiency. Air conditioners. Conformity demonstration procedure) (19 pages, in Spanish)</t>
  </si>
  <si>
    <t>The notified Nicaraguan Mandatory Technical Standard establishes the conformity demonstration procedure for products regulated by NTON/Central American Technical Regulation (RTCA) No. 23.01.78:20: Electrical products. Inverter split-type, free air discharge, non-ducted air conditioners with variable refrigerant flow. Energy efficiency specifications. The Standard applies to natural or legal persons who are involved in the importation and marketing of inverter split-type, free air discharge, non-ducted air conditioners with variable refrigerant flow, powered by electricity, with nominal cooling capacities of up to 19,050 W (65,000 BTU), which operate by mechanical compression and include an air-cooling evaporator coil, a frequency compressor with variable refrigerant flow and an air-cooled condensing coil. Note: This procedure is an instrument that offers guidelines for compliance with NTON/RTCA No. 23.01.78:20: Electrical products. Inverter split-type, free air discharge, non-ducted air conditioners with variable refrigerant flow. Energy efficiency specifications; and NTON/RTCA No. 23.01.80:21: Electrical products. Split-type, fixed speed, free air discharge, non-ducted air conditioners. Energy efficiency specifications. G/TBT/N/NIC/179 - 2 -</t>
  </si>
  <si>
    <t>(HS code: 841510); (ICS code: 23.120)</t>
  </si>
  <si>
    <t>841510 - Air conditioning machines designed to be fixed to a window, wall, ceiling or floor, self-contained or "split-system"</t>
  </si>
  <si>
    <d:r xmlns:d="http://schemas.openxmlformats.org/spreadsheetml/2006/main">
      <d:rPr>
        <d:sz val="11"/>
        <d:rFont val="Calibri"/>
      </d:rPr>
      <d:t xml:space="preserve">https://members.wto.org/crnattachments/2024/TBT/NIC/24_05576_00_s.pdf
https://www.mific.gob.ni/Inicio/Comercio/Comercio-Interior/SNC/snn/enn/ncp</d:t>
    </d:r>
  </si>
  <si>
    <t>FINAL RULE: Importation of Grapes from Chile under a Systems Approach [Docket No. APHIS–2021–0078]</t>
  </si>
  <si>
    <t>We are advising the public of our decision to revise the requirements relative to the importation into the United States of fresh table grapes from regions of Chile where European grapevine moth (Lobesia botrana, EGVM) is either absent or at very low prevalence. Based on the findings of a commodity import evaluation document, which we made available to the public for review and comment through a previous notice, we have determined that, in addition to the existing option of methyl bromide fumigation for EGVM and Chilean false red mite (Brevipalpus chilensis), grapes from Chile may be safely imported under a systems approach or irradiation for EGVM and B. chilensis. Current mitigation measures for Ceratitis capitata, or Medfly, will remain unchanged. (Federal Register Vol. 89, No. 139, Friday 19 July 2024, pp. 58703-58713)</t>
  </si>
  <si>
    <t>Fresh table grapes (HS Code: 0806 10)</t>
  </si>
  <si>
    <t>080610 - Fresh grapes; 080610 - Fresh grapes</t>
  </si>
  <si>
    <t>Adoption/publication/entry into force of reg.; Plant health; Pests; Plant health; Pests</t>
  </si>
  <si>
    <d:r xmlns:d="http://schemas.openxmlformats.org/spreadsheetml/2006/main">
      <d:rPr>
        <d:sz val="11"/>
        <d:rFont val="Calibri"/>
      </d:rPr>
      <d:t xml:space="preserve">https://www.regulations.gov/document/APHIS-2021-0078-0052</d:t>
    </d:r>
  </si>
  <si>
    <t>Notice of Availability of a Pest Risk Analysis for the Importation of Fresh Cape Gooseberry Fruit From Peru Into the United States [Docket No. APHIS-2023-0066]</t>
  </si>
  <si>
    <t>We are advising the public that we have prepared a pest risk analysis that evaluates the risks associated with the importation of fresh cape gooseberry fruit from Peru into the United States. Based on the analysis, we have determined that the application of one or more designated phytosanitary measures will be sufficient to mitigate the risks of introducing or disseminating plant pests or noxious weeds via the importation of fresh cape gooseberry fruit from Peru. We are making the pest risk analysis available to the public for review and comment. [Federal Register Vol. 89, No. 152, Wednesday, 7 August 2024, pg. 64402]</t>
  </si>
  <si>
    <t>Fresh gooseberry</t>
  </si>
  <si>
    <d:r xmlns:d="http://schemas.openxmlformats.org/spreadsheetml/2006/main">
      <d:rPr>
        <d:sz val="11"/>
        <d:rFont val="Calibri"/>
      </d:rPr>
      <d:t xml:space="preserve">https://www.regulations.gov/document/APHIS-2023-0066-0001</d:t>
    </d:r>
  </si>
  <si>
    <t>SDA/MAPA ORDINANCE No. 1.162, of 14 August 2024 - Establishes the phytosanitary requirements for the import of geranium propagation material (Pelargonuim spp.) of any origin</t>
  </si>
  <si>
    <t>The phytosanitary requirements for the import of propagating material (Category 4) of geranium (Pelargonium spp.), of any origin, are established.For cuttings of Pelargonium hortorum from Italy and Pelargonium peltatum and Pelargonium zonale from Germany, a period of 180 days is granted for the National Plant Protection Organizations (NPPOs) of the countries of origin to adapt their procedures to apply the requirements set out in this Ordinance.For seeds of Pelargonium hortorum from the United States of America, France and the Netherlands and Pelargonium zonale from the United Kingdom, a period of 180 days is granted for the National Plant Protection Organizations (NPPOs) of the countries of origin to adapt their procedures to apply the requirements set out in this Ordinance.</t>
  </si>
  <si>
    <t>Geranium propagation material (Pelargonuim spp.)</t>
  </si>
  <si>
    <t>Plant diseases; Plant health</t>
  </si>
  <si>
    <d:r xmlns:d="http://schemas.openxmlformats.org/spreadsheetml/2006/main">
      <d:rPr>
        <d:sz val="11"/>
        <d:rFont val="Calibri"/>
      </d:rPr>
      <d:t xml:space="preserve">https://members.wto.org/crnattachments/2024/SPS/BRA/24_05575_00_x.pdf
https://www.in.gov.br/leiturajornal?secao=dou1&amp;data=20-08-2024&amp;org=Minist%C3%A9rio%20da%20Agricultura%20e%20Pecu%C3%A1ria&amp;org_sub=Secretaria%20de%20Defesa%20Agropecu%C3%A1ria</d:t>
    </d:r>
  </si>
  <si>
    <t>NTON 04002 Eficiencia energética. Refrigeradores y congeladores electrodomésticos. Procedimiento para la demostración de la conformidad (Nicaraguan Mandatory Technical Standard (NTON) No. 04002: Energy efficiency. Household refrigerators and freezers. Conformity demonstration procedure) (17 pages, in Spanish)</t>
  </si>
  <si>
    <t>The notified Nicaraguan Mandatory Technical Standard establishes the conformity demonstration procedure for products regulated by Central American Technical Regulation (RTCA) No. 97.01.81:22: Electrical products. Household refrigerators and freezers. Energy efficiency specifications. The Standard applies to natural or legal persons that import and market household refrigerators and refrigerator-freezers of up to 1,104 litres (39 cubic feet) and household freezers of up to 850 litres (30 cubic feet) operated using hermetic motor-driven compressors. Note: This procedure does not include technical requirements. It is an instrument that offers guidelines for compliance with RTCA No. 97.01.81:22: Electrical products. Household refrigerators and freezers. Energy efficiency specifications.</t>
  </si>
  <si>
    <t>HS code(s): 841810; 84182; 841840; 841869; ICS code(s): 03.120.20; 97.040.30</t>
  </si>
  <si>
    <t>841810 - Combined refrigerator-freezers, with separate external doors or drawers, or combinations thereof; 84182 - - Refrigerators, household type:; 841840 - Freezers of the upright type, of a capacity &lt;= 900 l; 841869 - Refrigerating or freezing equipment (excl. refrigerating and freezing furniture)</t>
  </si>
  <si>
    <t>03.120.20 - Product and company certification. Conformity assessment; 97.040.30 - Domestic refrigerating appliances</t>
  </si>
  <si>
    <d:r xmlns:d="http://schemas.openxmlformats.org/spreadsheetml/2006/main">
      <d:rPr>
        <d:sz val="11"/>
        <d:rFont val="Calibri"/>
      </d:rPr>
      <d:t xml:space="preserve">https://members.wto.org/crnattachments/2024/TBT/NIC/24_05577_00_s.pdf</d:t>
    </d:r>
  </si>
  <si>
    <t>Draft - Establishes the phytosanitary requirements for the importation of cut flowers (Category 3) of gypsophila Gypsophila spp.) produced in Colombia</t>
  </si>
  <si>
    <t>Proposal to establish phytosanitary requirements for the import of cut flowers (Category 3) of gypsophila Gypsophila spp.) produced in Colombia.</t>
  </si>
  <si>
    <t>Cut flowers (Category 3) of gypsophila Gypsophila spp.)</t>
  </si>
  <si>
    <d:r xmlns:d="http://schemas.openxmlformats.org/spreadsheetml/2006/main">
      <d:rPr>
        <d:sz val="11"/>
        <d:rFont val="Calibri"/>
      </d:rPr>
      <d:t xml:space="preserve">https://members.wto.org/crnattachments/2024/SPS/BRA/24_05572_00_x.pdf</d:t>
    </d:r>
  </si>
  <si>
    <t>Armenia</t>
  </si>
  <si>
    <t>Draft Decision of the Council of the Eurasian Economic Commission on Amendments to the Decision of the Council of the Eurasian Economic Commission No. 140 of 23 September 2022</t>
  </si>
  <si>
    <t>The draft provides for a change in the effective date of the Rules to regulate the circulation of veterinary diagnostic tools on the customs territory of the Eurasian Economic Union, approved by the Decision of the Council of the Eurasian Economic Commission No. 140 of 23 September 2022 (hereinafter the Rules), as well as for technical and clarifying adjustment of the Rules.</t>
  </si>
  <si>
    <t>Veterinary diagnostic tools</t>
  </si>
  <si>
    <d:r xmlns:d="http://schemas.openxmlformats.org/spreadsheetml/2006/main">
      <d:rPr>
        <d:sz val="11"/>
        <d:rFont val="Calibri"/>
      </d:rPr>
      <d:t xml:space="preserve">https://docs.eaeunion.org/ria/ru-ru/0106497/ria_11032024</d:t>
    </d:r>
  </si>
  <si>
    <t>Draft amendments to the Technical regulation N025/2012 of the Customs Union «On safety of furniture products»</t>
  </si>
  <si>
    <t>The draft amendments to the Technical Regulations of the Customs Union "On safety of furniture products" was developed to bring it into line with the Treaty on the Eurasian Economic Union, and adjust the conceptual framework in terms of defining concepts and requirements for furniture products.</t>
  </si>
  <si>
    <t>Furniture products </t>
  </si>
  <si>
    <t>94 - FURNITURE; BEDDING, MATTRESSES, MATTRESS SUPPORTS, CUSHIONS AND SIMILAR STUFFED FURNISHINGS; LUMINAIRES AND LIGHTING FITTINGS, NOT ELSEWHERE SPECIFIED OR INCLUDED; ILLUMINATED SIGNS, ILLUMINATED NAMEPLATES AND THE LIKE; PREFABRICATED BUILDINGS</t>
  </si>
  <si>
    <t>97.140 - Furniture</t>
  </si>
  <si>
    <t>Draft - Establishes the phytosanitary requirements for the importation of fresh persimmon fruits originating from Uruguay</t>
  </si>
  <si>
    <t>Proposal to establish phytosanitary requirements for the import of fresh fruits (Category 3) of persimmon (Diospyros kaki) produced in Uruguay.</t>
  </si>
  <si>
    <t>Fresh persimmon fruit (Diospyros kaki</t>
  </si>
  <si>
    <t>081070 - Fresh persimmons</t>
  </si>
  <si>
    <t>Uruguay</t>
  </si>
  <si>
    <d:r xmlns:d="http://schemas.openxmlformats.org/spreadsheetml/2006/main">
      <d:rPr>
        <d:sz val="11"/>
        <d:rFont val="Calibri"/>
      </d:rPr>
      <d:t xml:space="preserve">https://members.wto.org/crnattachments/2024/SPS/BRA/24_05529_00_x.pdf</d:t>
    </d:r>
  </si>
  <si>
    <t>Maximum levels of nickel in certain foodstuffs</t>
  </si>
  <si>
    <t>The proposal notified in G/SPS/N/EU/734 (5 March 2024) is now adopted by Commission Regulation (EU) 2024/1987 of 30 July 2024 amending Regulation (EU) 2023/915 as regards maximum levels of nickel in certain foodstuffs (Text with EEA relevance).The Regulation shall apply from 1 July 2025.</t>
  </si>
  <si>
    <t>Tree nuts, vegetables, seaweed, pulses, oilseeds, cereals, cocoa and chocolate products, food for infants and young children, fruit and vegetable juices</t>
  </si>
  <si>
    <t>Contaminants; Adoption/publication/entry into force of reg.; Human health; Food safety; Maximum residue limits (MRLs); Heavy metals; Food safety; Human health; Heavy metals; Maximum residue limits (MRLs); Contaminants</t>
  </si>
  <si>
    <d:r xmlns:d="http://schemas.openxmlformats.org/spreadsheetml/2006/main">
      <d:rPr>
        <d:sz val="11"/>
        <d:rFont val="Calibri"/>
      </d:rPr>
      <d:t xml:space="preserve">https://members.wto.org/crnattachments/2024/SPS/EEC/24_05558_00_e.pdf
https://members.wto.org/crnattachments/2024/SPS/EEC/24_05558_00_f.pdf
https://members.wto.org/crnattachments/2024/SPS/EEC/24_05558_00_s.pdf</d:t>
    </d:r>
  </si>
  <si>
    <t>Eurasian Economic Commission Collegium Draft Decision on amendments to the Section 10 of the Chapter II of the Common sanitary-epidemiological and hygienic requirements for products subject to sanitary-epidemiological supervision (control); </t>
  </si>
  <si>
    <t>The draft amendments to the Section 10 of the Chapter II of the Common sanitary-epidemiological and hygienic requirements for products subject to sanitary-epidemiological supervision (control) approved by the Decision of the Commission of the Customs Union dated 28 May, 2010 No. 299 provides for the updating the safety requirements for materials for products (products) in contact with human skin, clothing, footwear.</t>
  </si>
  <si>
    <t>Materials for products (products) in contact with human skin, clothing, footwear</t>
  </si>
  <si>
    <t>61.020 - Clothes; 61.060 - Footwear</t>
  </si>
  <si>
    <t>Deletion of entries SF-001 to SF-010 from the Union list of authorised smoke flavouring primary products</t>
  </si>
  <si>
    <t>The proposal notified in G/SPS/N/EU/760 (3 May 2024) is now adopted by Commission Implementing Regulation (EU) 2024/2067 of 31 July 2024 amending Implementing Regulation (EU) No 1321/2013 as regards the deletion of entries SF-001 to SF-010 from the Union list of authorised smoke flavouring primary products (Text with EEA relevance).This Regulation entered into force on the twentieth day following that of its publication in the Official Journal of the European Union.</t>
  </si>
  <si>
    <t>Food safety; Human health; Adoption/publication/entry into force of reg.; Food safety; Human health</t>
  </si>
  <si>
    <d:r xmlns:d="http://schemas.openxmlformats.org/spreadsheetml/2006/main">
      <d:rPr>
        <d:sz val="11"/>
        <d:rFont val="Calibri"/>
      </d:rPr>
      <d:t xml:space="preserve">https://members.wto.org/crnattachments/2024/SPS/EEC/24_05557_00_e.pdf
https://members.wto.org/crnattachments/2024/SPS/EEC/24_05557_00_f.pdf
https://members.wto.org/crnattachments/2024/SPS/EEC/24_05557_00_s.pdf</d:t>
    </d:r>
  </si>
  <si>
    <t>Commission Implementing Regulation (EU) 2024/2040 of 29 July 2024 amending Implementing Regulation (EU) 2024/1070 as regards the establishment of transitional measures for the renewal of the authorisation of a preparation of 25-hydroxycholecalciferol produced by Saccharomyces cerevisiae CBS 146008 (Text with EEA relevance)</t>
  </si>
  <si>
    <t>The authorization of the feed additive covered by the Act was renewed for a 10-year period for chickens for fattening, turkeys for fattening, other poultry and pigs by Commission Implementing Regulation (EU) 2024/1070. The act concerning the renewal of authorization includes a characterization of the active substance of the additive which is slightly different from the specifications laid down in the previous authorization act for that additive. However, no transitional measures were provided for in Implementing Regulation (EU) 2024/1070 in order to allow interested parties to adapt to the new terms of authorization. Therefore, Commission Implementing Regulation (EU) 2024/2040 is amending Implementing Regulation (EU) 2024/1070 by including such transitional measures and that amendment applies retroactively from the date of entry into force of Implementing Regulation (EU) 2024/1070 in order to prevent market disturbance and detrimental consequences for the operators concerned.</t>
  </si>
  <si>
    <t>Preparations of a kind used in animal feeding (HS code(s): 2309)</t>
  </si>
  <si>
    <d:r xmlns:d="http://schemas.openxmlformats.org/spreadsheetml/2006/main">
      <d:rPr>
        <d:sz val="11"/>
        <d:rFont val="Calibri"/>
      </d:rPr>
      <d:t xml:space="preserve">https://members.wto.org/crnattachments/2024/SPS/EEC/24_05553_00_e.pdf
https://members.wto.org/crnattachments/2024/SPS/EEC/24_05553_00_f.pdf
https://members.wto.org/crnattachments/2024/SPS/EEC/24_05553_00_s.pdf</d:t>
    </d:r>
  </si>
  <si>
    <t>Climate Protection Program (CPP) 2024</t>
  </si>
  <si>
    <t xml:space="preserve">The Oregon Department of Environmental Quality (DEQ) is extending the public comment period on a proposed climate protection program, including proposed new rules and permanent rule amendments to chapter 340 of the Oregon Administrative Rules. As part of adopting the proposed climate protection program, DEQ is proposing to adopt new rules, chapter 340, Division 273, and proposing corresponding rule amendments to chapter 340, Divisions 12, 215, 216, 253 and 272.Climate Protection Program 2024, Division 273Enforcement Procedure and Civil Penalties, Division 12 Greenhouse Gas Reporting Program, Division 215 Air Contaminant Discharge Program, Division 216Clean Fuels Program, Division 253Third-Party Verification, Division 272For more information, see the Notice of Proposed RulemakingDraft rules: Climate Protection Program, Division 273 (new rules)Draft rules: Divisions 12, 215, 216, 253, 273 (minor edits to existing rules)Worksheet: Community Climate Investment (CCI) Credit Contribution Amount ConsiderationsEmissions Data SpreadsheetMore information on this rulemaking, including the draft rules, can be found on the Climate Protection Program 2024 rulemaking websiteWTO Members and their stakeholders are asked to submit comments to the USA TBT Enquiry Point. Comments received by the USA TBT Enquiry Point from WTO Members and their stakeholders by 4pmEastern Time on 27 September 2024 will be shared with DEQ if received within the comment period.Wednesday, 21 August 2024, 4 p.m.Pacific TimeJoin by ZoomJoin by Phone:Call-in number: 888-475-4499 US Toll-freeMeeting ID: 843 9807 4366Thursday, 26 September 2024, 3:20 p.m. - 5:20 p.m.Pacific TimeJoin by ZoomJoin by phone:_x000D_
Call-in number: 669-928-4609 US Toll free_x000D_
Meeting ID: 856 2289 4176Sign up for rulemaking updates here. Contact CPP.2024@DEQ.oregon.go with queries. DEQ will post additional information after this meeting takes place, including a meeting summary, for those unable to attend.</t>
  </si>
  <si>
    <t>Climate protection; Environmental protection (ICS code(s): 13.020); Air quality in general (ICS code(s): 13.040.01)</t>
  </si>
  <si>
    <t>13.020 - Environmental protection; 13.040.01 - Air quality in general; 13.020 - Environmental protection; 13.040.01 - Air quality in general</t>
  </si>
  <si>
    <d:r xmlns:d="http://schemas.openxmlformats.org/spreadsheetml/2006/main">
      <d:rPr>
        <d:sz val="11"/>
        <d:rFont val="Calibri"/>
      </d:rPr>
      <d:t xml:space="preserve">https://members.wto.org/crnattachments/2024/TBT/USA/24_05554_00_e.pdf
https://members.wto.org/crnattachments/2024/TBT/USA/24_05554_01_e.pdf
https://members.wto.org/crnattachments/2024/TBT/USA/24_05554_02_e.pdf</d:t>
    </d:r>
  </si>
  <si>
    <t>Equipment, Systems, and Network Information Security Protection</t>
  </si>
  <si>
    <t xml:space="preserve">Notice of proposed rulemaking - This proposed rulemaking would impose new design standards to 
address cybersecurity threats for transport category airplanes, 
engines, and propellers. The intended effect of this proposed action is 
to standardize the FAA's criteria for addressing cybersecurity threats, 
reducing certification costs and time while maintaining the same level 
of safety provided by current special conditions.</t>
  </si>
  <si>
    <t>Equipment, systems, and networks of transport category airplanes, engines, and propellers; Quality (ICS code(s): 03.120); IT Security (ICS code(s): 35.030); Software (ICS code(s): 35.080); Aircraft and space vehicles in general (ICS code(s): 49.020); Aerospace engines and propulsion systems (ICS code(s): 49.050); Aerospace electric equipment and systems (ICS code(s): 49.060)</t>
  </si>
  <si>
    <t>03.120 - Quality; 35.080 - Software; 49.020 - Aircraft and space vehicles in general; 49.050 - Aerospace engines and propulsion systems; 49.060 - Aerospace electric equipment and systems</t>
  </si>
  <si>
    <t>Protection of human health or safety (TBT); Harmonization (TBT); Cost saving and productivity enhancement (TBT)</t>
  </si>
  <si>
    <d:r xmlns:d="http://schemas.openxmlformats.org/spreadsheetml/2006/main">
      <d:rPr>
        <d:sz val="11"/>
        <d:rFont val="Calibri"/>
      </d:rPr>
      <d:t xml:space="preserve">https://members.wto.org/crnattachments/2024/TBT/USA/24_005531_00_e.pdf</d:t>
    </d:r>
  </si>
  <si>
    <t>Labeling – Energy Efficiency Label for Electrical Appliances Part 1: Low-Capacity Air Conditioners</t>
  </si>
  <si>
    <t xml:space="preserve">  This UAE technical Regulation deals with the performance and energy efficiency label requirements for ducted and non-ducted air-conditioners and air-cooled heat pumps with a cooling capacity up to 65000 Btu/h (19kW)._x000D_
The following units are excluded from the scope of this standard:_x000D_
a) Evaporative coolers._x000D_
b) Individual assemblies not constituting a complete refrigeration system such as condensing units for separate use._x000D_
c) VRF and multi-split system regardless of the capacity will be covered under UAE.s 5010-5</t>
  </si>
  <si>
    <t>Mechanical structures for electronic equipment (ICS code(s): 31.240)</t>
  </si>
  <si>
    <t>23.120 - Ventilators. Fans. Air-conditioners; 27.080 - Heat pumps; 31.240 - Mechanical structures for electronic equipment</t>
  </si>
  <si>
    <d:r xmlns:d="http://schemas.openxmlformats.org/spreadsheetml/2006/main">
      <d:rPr>
        <d:sz val="11"/>
        <d:rFont val="Calibri"/>
      </d:rPr>
      <d:t xml:space="preserve">https://members.wto.org/crnattachments/2024/TBT/ARE/24_05537_00_x.pdf</d:t>
    </d:r>
  </si>
  <si>
    <t>Labeling – Energy Efficiency Label for Electrical Appliances Part 5: Large Capacity Air Conditioners</t>
  </si>
  <si>
    <t xml:space="preserve">  This standard deals with the energy efficiency labels and the minimum energy performance standard (MEPS) requirements for ACs factory-made residential, commercial, and industrial, electrically driven, mechanical compression more than 65000 BTU/H (19 KW) of:_x000D_
- Ducted air conditioners using air and water-cooled condensers and ducted air-to-air heat pumps._x000D_
- Water-source heat pumps._x000D_
- Variable refrigerant flow (VRF) air conditioner systems and multi-spilt systems regardless of the capacity._x000D_
- Condensing units._x000D_
- Closed control air conditioners &amp; condensing units serving computer rooms_x000D_
- Chillers._x000D_
The units are designed to operate in AC single phase or designed for dual voltage range three phase._x000D_
Exclusions_x000D_
This standard does not apply to air conditioners covered under the scope of standard UAE.S 5010-1.</t>
  </si>
  <si>
    <d:r xmlns:d="http://schemas.openxmlformats.org/spreadsheetml/2006/main">
      <d:rPr>
        <d:sz val="11"/>
        <d:rFont val="Calibri"/>
      </d:rPr>
      <d:t xml:space="preserve">https://members.wto.org/crnattachments/2024/TBT/ARE/24_05538_00_x.pdf</d:t>
    </d:r>
  </si>
  <si>
    <t>Thailand</t>
  </si>
  <si>
    <t>Notification of the Ministry of Public Health entitled " Young Child Food Subject to Ministerial Marketing Promotion Control B.E 2567"</t>
  </si>
  <si>
    <t>The Draft Ministry of Public Health notification entitled " Young Child Food Subject to Ministerial Marketing Promotion Control B.E ….", previously notified in G/TBT/N/THA/739 dated 19 June 2024, was published in the Royal Gazette dated 6August 2024 as Notification of the Ministry of Public Health entitled “Young Child Food Subject to Ministerial Marketing Promotion Control B.E 2567”.SPS/TBT (Agricultural Commodity and Foods) Thailand Contact PointE-mail: spsthailand@gmail.comWebsites: http://www.acfs.go.thhttps://spsthailand.acfs.go.th/th/main</t>
  </si>
  <si>
    <t>Infant and young child food (HS Code: 0401, 0402) (ICS: 67.100.10). Milk and cream, not concentrated nor containing added sugar or other sweetening matter. (HS: 0401), Milk and cream, concentrated or containing added sugar or other sweetening matter. (HS: 0402)Milk and cream, not concentrated nor containing added sugar or other sweetening matter. (HS 0401), Milk and cream, concentrated or containing added sugar or other sweetening matter. (HS 0402). Milk and processed milk products (ICS 67.100.10).</t>
  </si>
  <si>
    <t>0401 - Milk and cream, not concentrated nor containing added sugar or other sweetening matter; 0402 - Milk and cream, concentrated or containing added sugar or other sweetening matter; 0402 - Milk and cream, concentrated or containing added sugar or other sweetening matter; 0401 - Milk and cream, not concentrated nor containing added sugar or other sweetening matter</t>
  </si>
  <si>
    <t>67.100.10 - Milk and processed milk products; 67.100.10 - Milk and processed milk products</t>
  </si>
  <si>
    <d:r xmlns:d="http://schemas.openxmlformats.org/spreadsheetml/2006/main">
      <d:rPr>
        <d:sz val="11"/>
        <d:rFont val="Calibri"/>
      </d:rPr>
      <d:t xml:space="preserve">https://members.wto.org/crnattachments/2024/TBT/THA/final_measure/24_05556_00_x.pdf</d:t>
    </d:r>
  </si>
  <si>
    <t>Draft Commission Delegated Regulation amending Delegated Regulation (EU) 2022/2292 as regards the requirements for the entry into the Union of certain dairy products, certain food additives derived from animals, collagen casings, minced meat, meat preparations, mechanically separated meat and composite products containing gelatine capsules (Text with EEA relevance)</t>
  </si>
  <si>
    <t>Commission Delegated Regulation (EU) 2022/2292 lays down import conditions for certain food. The draft allows the entry into the Union of certain products of animal origin possible by introducing a number of Combined Nomenclature codes or Harmonized System headings in certain Articles of the Regulation. It clarifies conditions for raw materials used for the entry into the Union of certain products of animal origin. It finally facilitates the entry into the Union of certain gelatine capsules contained in composite products.</t>
  </si>
  <si>
    <t>Products of animal origin, composite products intended for human consumption</t>
  </si>
  <si>
    <d:r xmlns:d="http://schemas.openxmlformats.org/spreadsheetml/2006/main">
      <d:rPr>
        <d:sz val="11"/>
        <d:rFont val="Calibri"/>
      </d:rPr>
      <d:t xml:space="preserve">https://members.wto.org/crnattachments/2024/SPS/EEC/24_05523_00_e.pdf</d:t>
    </d:r>
  </si>
  <si>
    <t>Draft Decision of the Council of the Eurasian Economic Commission on the Rules for Regulation of the circulation of feed additives within the customs territory of the Eurasian Economic Union</t>
  </si>
  <si>
    <t>The draft provides for the approval of the Rules for regulation of the circulation of feed additives within the customs territory of the Eurasian Economic Union (hereinafter - the Union), which include:- common rules for the regulation of the circulation of feed additives;- a common procedure for the registration of feed additives, as well as other procedures related to registration;- a common assessment procedure with respect to the quality, safety and efficiency of feed additives, as well as criteria for their assessment;- common principles of information exchange while organizing and conducting state control (supervision) in the field of feed additives circulation;- common registration forms;- a common register of feed additives inscribed under unified Union rules;- a common information database on low-quality, unsafe feed additives, falsified and (or) counterfeit feed additives detected under state control (supervision) with respect to feed additives circulation;- a common database on animals’ adverse reactions to feed additives;- a common register of producers of feed additives, the production of which is recognized to comply with the Union’s unified requirements</t>
  </si>
  <si>
    <t>Feed additives</t>
  </si>
  <si>
    <t>Protection of animal or plant life or health (TBT)</t>
  </si>
  <si>
    <t>Eurasian Economic Commission Collegium Draft Decision on amendments to the Section 14 of the Chapter II of the Common sanitary-epidemiological and hygienic requirements for products subject to sanitary-epidemiological supervision (control),</t>
  </si>
  <si>
    <t>The draft provides for the updating of the Section 14 of the Chapter II of the Common sanitary-epidemiological and hygienic requirements for products subject to sanitary-epidemiological supervision (control) which regulates the requirements for individual protection equipment.</t>
  </si>
  <si>
    <t>Individual protection equipment</t>
  </si>
  <si>
    <t>13.340 - Protective equipment</t>
  </si>
  <si>
    <t xml:space="preserve">Significant New Use Rules on Certain Chemical Substances (24-
1.5e)</t>
  </si>
  <si>
    <t xml:space="preserve">Proposed rule - EPA is proposing significant new use rules (SNURs) under the 
Toxic Substances Control Act (TSCA) for chemical substances that were 
the subject of premanufacture notices (PMNs) and a Microbial Commercial 
Activity Notice (MCAN) and are also subject to a TSCA Order. The SNURs 
require persons who intend to manufacture (defined by statute to 
include import) or process any of these chemical substances for an 
activity that is proposed as a significant new use by this rule to 
notify EPA at least 90 days before commencing that activity. The 
required notification initiates EPA's evaluation of the conditions of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t>
  </si>
  <si>
    <t>Chemical substances; Environmental protection (ICS code(s): 13.020); Production in the chemical industry (ICS code(s): 71.020); Products of the chemical industry (ICS code(s): 71.100)</t>
  </si>
  <si>
    <d:r xmlns:d="http://schemas.openxmlformats.org/spreadsheetml/2006/main">
      <d:rPr>
        <d:sz val="11"/>
        <d:rFont val="Calibri"/>
      </d:rPr>
      <d:t xml:space="preserve">https://members.wto.org/crnattachments/2024/TBT/USA/24_05517_00_e.pdf</d:t>
    </d:r>
  </si>
  <si>
    <t>Energy Labeling Rule</t>
  </si>
  <si>
    <t xml:space="preserve">In response to a recent notice of proposed rulemaking (notified as G/TBT/N/USA/2097) on the Energy Labeling Rule, one commenter, Dyson, Inc. ("Dyson"), requested an opportunity to present oral comments on proposed air cleaner labeling. In response, the Commission will hold a virtual oral hearing for the requester to provide its comments.The oral hearing will be conducted virtually starting at 1:00 p.m.Eastern Time on 19 September 2024.89 Federal Register (FR) 67335, Title 16 Code of Federal Regulations (CFR) Part 305_x000D_
https://www.govinfo.gov/content/pkg/FR-2024-08-20/html/2024-17105.htm_x000D_
https://www.govinfo.gov/content/pkg/FR-2024-08-20/pdf/2024-17105.pdf_x000D_
This action and previous actions notified under the symbol G/TBT/N/USA/2097 are identified by Docket Number FTC-2024-0008. The Docket Folder is available on Regulations.gov at https://www.regulations.gov/docket/FTC-2024-0008/document and provides access to primary documents as well as comments received. Documents are also accessible from Regulations.gov by searching the Docket Number. </t>
  </si>
  <si>
    <t>Air cleaners, clothes dryers, miscellaneous refrigeration products, and portable electric spas; modifications to existing labels for clothes washers, televisions, and several heating products; Energy efficiency. Energy conservation in general (ICS code(s): 27.015); Television receivers (ICS code(s): 33.160.25); Domestic refrigerating appliances (ICS code(s): 97.040.30); Laundry appliances (ICS code(s): 97.060); Domestic, commercial and industrial heating appliances (ICS code(s): 97.100); Commercial refrigerating appliances (ICS code(s): 97.130.20); Miscellaneous domestic and commercial equipment (ICS code(s): 97.180)</t>
  </si>
  <si>
    <t>33.160.25 - Television receivers; 97.040.30 - Domestic refrigerating appliances; 97.060 - Laundry appliances; 97.100 - Domestic, commercial and industrial heating appliances; 97.130.20 - Commercial refrigerating appliances; 97.180 - Miscellaneous domestic and commercial equipment; 27.015 - Energy efficiency. Energy conservation in general; 27.015 - Energy efficiency. Energy conservation in general; 33.160.25 - Television receivers; 97.040.30 - Domestic refrigerating appliances; 97.060 - Laundry appliances; 97.100 - Domestic, commercial and industrial heating appliances; 97.130.20 - Commercial refrigerating appliances; 97.180 - Miscellaneous domestic and commercial equipment</t>
  </si>
  <si>
    <t>Consumer information, labelling (TBT); Prevention of deceptive practices and consumer protection (TBT); Protection of the environment (TBT)</t>
  </si>
  <si>
    <d:r xmlns:d="http://schemas.openxmlformats.org/spreadsheetml/2006/main">
      <d:rPr>
        <d:sz val="11"/>
        <d:rFont val="Calibri"/>
      </d:rPr>
      <d:t xml:space="preserve">https://members.wto.org/crnattachments/2024/TBT/USA/24_05518_00_e.pdf</d:t>
    </d:r>
  </si>
  <si>
    <t>Proyecto de Norma Oficial Mexicana PROY-NOM-042-NUCL-2024, Categorización de sustancias fisionables y otros materiales radiactivos y requisitos de seguridad física nuclear para su transporte (Draft Mexican Official Standard PROY-NOM-042-NUCL-2024: Categorization of fissile and other radioactive material and nuclear security requirements for the transport of such material) (9 pages, in Spanish)</t>
  </si>
  <si>
    <t>• The notified draft Mexican Official Standard establishes criteria for categorizing fissile and other radioactive material so that nuclear security measures required during the transport of such material can be applied. • It is applicable to fissile and other radioactive material transported, transport units, packages, packagings and packs used during transport by land or by water. • The draft Mexican Official Standard establishes categories for fissile and other radioactive material, general nuclear security requirements and security requirements by category. G/TBT/N/MEX/537 - 2 -</t>
  </si>
  <si>
    <t>Fissile and other radioactive material transported, transport units, packages, packagings and packs used during transport by land or by water</t>
  </si>
  <si>
    <t>13.300 - Protection against dangerous goods; 27.120.30 - Fissile materials and nuclear fuel technology</t>
  </si>
  <si>
    <d:r xmlns:d="http://schemas.openxmlformats.org/spreadsheetml/2006/main">
      <d:rPr>
        <d:sz val="11"/>
        <d:rFont val="Calibri"/>
      </d:rPr>
      <d:t xml:space="preserve">https://members.wto.org/crnattachments/2024/TBT/MEX/24_05519_00_s.pdf
https://www.dof.gob.mx/nota_detalle.php?codigo=5734917&amp;fecha=31/07/2024#gsc.tab=0</d:t>
    </d:r>
  </si>
  <si>
    <t>Draft Commission Implementing Regulation concerning the non-renewal of approval of the active substance tritosulfuron, in accordance with Regulation (EC) No 1107/2009 of the European Parliament and of the Council, and amending Commission Implementing Regulation (EU) No 540/2011 (Text with EEA relevance)</t>
  </si>
  <si>
    <t>This draft Commission Implementing Regulation provides that the approval of the active substance tritosulfuron is not renewed in accordance with Regulation (EC) No 1107/2009. EU Member States shall withdraw authorisations for plant protection products containing tritosulfuron as an active substance.In order for an active substance to be approved in accordance with Regulation (EC) No 1107/2009 (concerning the placing of plant protection products on the market), it must be demonstrated that the substance is not harmful to human health, animal health or the environment. Criteria are listed in Article 4 of the Regulation (and also detailed in Annex II thereto) which must be met to enable approval.During the evaluation and peer-review of tritosulfuron, areas that could not be finalised were identified. These are detailed in the conclusion of the European Food Safety Authority (EFSA). Moreover, the outcome of the risk assessment as documented in the EFSA Conclusion identifies the contamination of groundwater by the relevant metabolite TFA at level likely to be above the regulatory limit of 0.1 ug/L.Therefore, and considering that by letter of 8 May 2024, the applicant informed the Commission of its decision to withdraw the application for the renewal of tritosulfuron, the approval should not be renewed.Existing authorisations will need to be withdrawn; EU Member States must withdraw existing plant protection products containing tritosulfuron at the latest by 6 months from the date of entry into force. A period of grace in line with Article 46 of Regulation (EC) No 1107/2009 is allowed for and shall expire at the latest 12 months from the entry into force (allowing for a final season of use).This decision only concerns the placing on the market of this substance and plant protection products containing it. This draft Commission Implementing Regulation was also notified under the TBT Agreement in notice G/TBT/N/EU/1078.</t>
  </si>
  <si>
    <t>Tritosulfuron (pesticide active substance)</t>
  </si>
  <si>
    <t>Food safety (SPS); Animal health (SPS); Plant protection (SPS); Protect territory from other damage from pests (SPS)</t>
  </si>
  <si>
    <d:r xmlns:d="http://schemas.openxmlformats.org/spreadsheetml/2006/main">
      <d:rPr>
        <d:sz val="11"/>
        <d:rFont val="Calibri"/>
      </d:rPr>
      <d:t xml:space="preserve">https://members.wto.org/crnattachments/2024/SPS/EEC/24_05520_00_e.pdf</d:t>
    </d:r>
  </si>
  <si>
    <t>The notified draft resolution amends Resolution No. 136 of 7 January 2021, which establishes regulations governing the importation of the following stone fruit species: Prunus armeniaca, P. avium, P. cerasifera, P. cerasus, P. domestica, P. dulcis, P. mahaleb, P. persica, P. persica var, Nucipersica and P. salicina, coming from the United States of America.</t>
  </si>
  <si>
    <t>The draft resolution makes the following amendments to SAG Resolution No. 136, which establishes phytosanitary requirements for the importation of plants, cuttings and slips of stone fruit species: Subparagraph 1.1.2 of the operative part is replaced. "1.1.2. The consignment is free from the following arthropods: − Acleris spp. (Lepidoptera; Tortricidae) − Anarsia lineatella (Lepidoptera; Gelechiidae) − Anoplophora glabripennis (Coleoptera; Cerambycidae) − Archips spp. (Lepidoptera; Tortricidae) − Cacoecimorpha pronubana (Lepidoptera; Tortricidae) − Choristoneura rosaceana (Lepidoptera; Tortricidae) − Chrysobothris spp. (Coleoptera; Buprestidae) − Diaspidiotus ostreaeformis (=Quadraspidiotus ostreaeformis) (Hem; Diaspididae) − Enarmonia formosana (Lepidoptera: Tortricidae) − Eotetranychus carpini (Tetranychidae) − Epiphyas postvittana (Lepidoptera; Tortricidae) − Euzophera semifuneralis (Lepidoptera; Pyralidae) − Hedya spp. (Lepidoptera; Tortricidae) − Metcalfa pruinosa (Hemiptera; Flatidae) − Operophtera brumata (Lepidoptera; Geometridae) − Parlatoria oleae (Hemiptera; Diaspididae) − Phenacoccus aceris (Hemiptera; Pseudococcidae) − Pseudaulacaspis pentagona (Hemiptera, Diaspididae) − Pulvinaria vitis (Hemiptera; Coccidae) − Recurvaria nanella (Lepidoptera; Gelechiidae) − Sphaerolecanium prunastri (Hemiptera; Coccidae) − Spilonota ocellana (Lepidoptera; Tortricidae) − Synanthedon pictipes (Lepidoptera; Sesiidae) − Synanthedon exitiosa (Lepidoptera; Sesiidae) − Taeniothrips inconsequens (Thysanoptera; Thripidae) − Tetranychus mcdanieli (Tetranychidae) − Xylosandrus crassiusculus (Coleoptera; Scolytidae) − Zeuzera pyrina (Lepidoptera; Cossidae)" The reference to "Pseudomonas syringae pv. morsprunorum" is deleted from point 1 in the "Additional Declaration" column in the table under section 1.1.3 of the operative part, for the species, Sour cherry (Prunus cerasus), Sweet cherry (Prunus avium), Common plum (Prunus domestica) Japanese plum (Prunus salicina), Apricot (Prunus armeniaca), Peach (Prunus persica) and Nectarine (Prunus persica var. nucupersica). Further details can be found in the document attached to this notification.</t>
  </si>
  <si>
    <t>Plants, cuttings and slips of certain stone fruit species</t>
  </si>
  <si>
    <t>060220 - Edible fruit or nut trees, shrubs and bushes, whether or not grafted</t>
  </si>
  <si>
    <t>Plant diseases; Plant health; Pests</t>
  </si>
  <si>
    <d:r xmlns:d="http://schemas.openxmlformats.org/spreadsheetml/2006/main">
      <d:rPr>
        <d:sz val="11"/>
        <d:rFont val="Calibri"/>
      </d:rPr>
      <d:t xml:space="preserve">https://members.wto.org/crnattachments/2024/SPS/CHL/24_05515_00_s.pdf
https://members.wto.org/crnattachments/2024/SPS/CHL/24_05515_01_s.pdf</d:t>
    </d:r>
  </si>
  <si>
    <t>Turkish Food Codex - Communiqué on Eggs (Communiqué  No: 2024/7 )</t>
  </si>
  <si>
    <t>The purpose of this Communiqué is to determine the features to be taken into account in packaging, preservation, storage, transportation and marketing of shell eggs obtained from laying hens in a technical and hygienic manner.This Communiqué covers eggs obtained from chicken (Gallus gallus var. domesticus). It does not cover eggs and egg products from other poultry and incubated and cooked eggs.The Communiqué is largely compatible with the relevant EU legislation.This Communiqué repeals the Turkish Food Codex Communiqué on Eggs (Communiqué No: 2014/55) published in the Official Gazette dated 20.12.2014 and numbered 29211.</t>
  </si>
  <si>
    <t>Eggs</t>
  </si>
  <si>
    <t>040721 - Fresh eggs of domestic fowls, in shell (excl. fertilised for incubation)</t>
  </si>
  <si>
    <t>67.120.20 - Poultry and eggs</t>
  </si>
  <si>
    <d:r xmlns:d="http://schemas.openxmlformats.org/spreadsheetml/2006/main">
      <d:rPr>
        <d:sz val="11"/>
        <d:rFont val="Calibri"/>
      </d:rPr>
      <d:t xml:space="preserve">https://members.wto.org/crnattachments/2024/TBT/TUR/24_05512_00_x.pdf
https://www.tarimorman.gov.tr/GKGM/Duyuru/584/Mevzuat-Taslagi-Tgk-Yumurta-Tebligi</d:t>
    </d:r>
  </si>
  <si>
    <t>AIR CONDITIONERS - MINIMUM ENERGY PERFORMANCE, LABELLING AND TESTING REQUIREMENTS FOR LOW-CAPACITY WINDOW TYPE AND SINGLE-SPLIT</t>
  </si>
  <si>
    <t>This standard is an update to the original SASO2663:2021 and shall be a replacement once it is approved.The following is the scope of the standard:This standard specifies the Minimum Energy Performance Standard (MEPS) and the energy labelling requirements for single-package of window type, single split-system non-ducted air conditioners using air-cooled condensers, single split-system ducted air-conditioners using air-cooled condensers, and heat pumps using air-cooled condensers or using electric resistance for residential, commercial and industrial sectors as applicable in accordance with SASO standards. The standard covers units with capacities up to and including 65,000 Btu/h (19.05 kW). The standard applies to units designed to operate at frequency of 60 Hz with the following voltages: AC single phase circuits of 220 V or 230 V, DC single phase up to 400V, Designed for dual voltage (including DC) up to 400V,Voltage range including above values, and three phase circuits of 380 V or 400 V Note: For any additional requirements such as safety, please refer to SASO related standards.The following units are excluded from the scope of this standard:a) Units covered by SASO 2874 “LARGE CAPACITY AIR CONDITIONERS PERFORMANCE REQUIREMENTS AND METHODS OF TESTING’’ standard.b) Evaporative coolers.c) Mobile (windowless) and portable units with exhaust air duct.d) Individual assemblies not constituting a complete refrigeration system such as condensing units for separate use.e) Models that have been granted exemption by SASO due to specific design for applications such as air-conditioners that are not intended for human comfort.</t>
  </si>
  <si>
    <t>Ventilators. Fans. Air-conditioners (ICS code(s): 23.120); Heat pumps (ICS code(s): 27.080)</t>
  </si>
  <si>
    <t>23.120 - Ventilators. Fans. Air-conditioners; 23.120 - Ventilators. Fans. Air-conditioners; 27.080 - Heat pumps; 27.080 - Heat pumps</t>
  </si>
  <si>
    <d:r xmlns:d="http://schemas.openxmlformats.org/spreadsheetml/2006/main">
      <d:rPr>
        <d:sz val="11"/>
        <d:rFont val="Calibri"/>
      </d:rPr>
      <d:t xml:space="preserve">https://members.wto.org/crnattachments/2024/TBT/SAU/modification/24_05508_00_x.pdf
Saudi Standards Metrology and Quality Organization
P.O. BOX: 3437 Riyadh 11471 Tel: +966(1)2529095 Fax +966(1)4520086 Email: enquirypoint@saso.gov.sa Website: www.saso.gov.sa
</d:t>
    </d:r>
  </si>
  <si>
    <t>Draft Ministry of Public Health Notification, No. … B.E. ….(....) Issued by virtue of the Food Act B.E. 2522 entitled "jams, jellies and marmalades".</t>
  </si>
  <si>
    <t>The Ministry of Public Health (MOPH) considered that the existing Notifications of Ministry of Public Health (No.213) B.E 2543 (2000) Issued by virtue of the Food Act B.E. 2522 Re: Jam, jelly, and marmalade in sealed containers should be revised the measure and quality or standards pertaining to jams, jellies, and marmalades as follows:1. The Notification of the Ministry of Public Health, No. 213) B.E 2543 (2000) Issued by virtue of the Food Act B.E. 2522 Re: Jam, jelly, and marmalade in sealed containers, dated 19 September B.E. 2543 (2000) shall be repealed and replaced by this (Draft) MOPH Notification;2. Improve the definitions and expand the scope of products to include jams, jellies, citrus marmalades, non-citrus marmalades, and jelly marmalades.3. Prescribe the basic ingredients and other permitted ingredients 4. Improve the standard of soluble solids content 5. Improve the standard of fruit content.6.Improve the microbiological safety criteria such as yeast and mold, and pathogenic microorganisms.7. Prescribe the labelling for jams, jellies, and marmalades.This draft has also been notified in the TBT notification.</t>
  </si>
  <si>
    <t>jams, jellies and marmalades (ICS 67.080)</t>
  </si>
  <si>
    <d:r xmlns:d="http://schemas.openxmlformats.org/spreadsheetml/2006/main">
      <d:rPr>
        <d:sz val="11"/>
        <d:rFont val="Calibri"/>
      </d:rPr>
      <d:t xml:space="preserve">https://members.wto.org/crnattachments/2024/SPS/THA/24_05516_00_x.pdf</d:t>
    </d:r>
  </si>
  <si>
    <t>Updates to sanitary certificates for exports from Australia of meat and meat products, processed foods and inedible animal by-products such as pet food, pharmaceuticals, rendered products, wool and skins and hides</t>
  </si>
  <si>
    <t>Australia is updating the certificate printing system for the current Export Documentation System (EXDOC) whereby trading partners may notice minor format changes to printed health certificates such as the placement and size of information fields and crest size. Importantly, these minor format changes do not affect the agreed conditions or attestations for market access, bilaterally agreed information about the consignment details, or the department’s regulatory controls over exports.EXDOC certificates for meat and meat products, processed foods and inedible animal by-products such as pet food, pharmaceuticals, rendered products, wool and skins and hides will be produced using the updated printing system commencing from 1 October 2024.There will be a transition period where both the old and new certificates will be in use to allow for transit time (air and sea freight) to the port of destination.These changes do not affect certificates for commodities that are issued throughAustralia’s new documentation system, the Next Export Documentation System (NEXDOC). This system generates certification for dairy, eggs, honey and honey bee products and from 30 September 2024, fish products, as previously notified in G/SPS/N/AUS/593, published on 2 August 2024.</t>
  </si>
  <si>
    <t>Meat and meat products, processed foods and inedible animal by-products such as pet food, pharmaceuticals, rendered products, wool and skins and hides.</t>
  </si>
  <si>
    <d:r xmlns:d="http://schemas.openxmlformats.org/spreadsheetml/2006/main">
      <d:rPr>
        <d:sz val="11"/>
        <d:rFont val="Calibri"/>
      </d:rPr>
      <d:t xml:space="preserve">https://members.wto.org/crnattachments/2024/SPS/AUS/24_05499_00_e.pdf</d:t>
    </d:r>
  </si>
  <si>
    <t>Established Maximum Residue Limits: Picarbutrazox</t>
  </si>
  <si>
    <t>The proposed maximum residue limit (PMRL) document for picarbutrazox notified in G/SPS/N/CAN/1553 (dated 21 May 2024) was adopted 14 August 2024. The proposed MRLs were established via entry into the Maximum Residue Limits Database and are provided directly below: MRL (ppm)1 Raw Agricultural Commodity (RAC) and/or Processed Commodity0.01            Dried shelled pea and bean (except soybean) (crop subgroup 6C); cereal grains (crop group 15)2; rapeseeds (revised) (crop subgroup 20A)1 ppm = parts per million2 The MRL replaces the currently established MRLs of 0.01 ppm in/on field corn, popcorn grain, and sweet corn kernels plus cob with husks removed with a single crop group 15 MRL at the same value. This results in a single MRL that will be applicable to all commodities within crop group 15.            The commodities included in the listed crop groups/subgroups can be found on theResidue Chemistry Crop Groups webpage (https://www.canada.ca/en/health-canada/services/consumer-product-safety/pesticides-pest-management/public/protecting-your-health-environment/pesticides-food/residue-chemistry-crop-groups.html) in the Pesticides section of the Canada.ca website.            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</si>
  <si>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picarbutrazox in or on various commodities (ICS codes: 65.020, 65.100, 67.040, 67.060, 67.200)  </t>
  </si>
  <si>
    <t>65.020 - Farming and forestry; 65.020 - Farming and forestry; 65.100 - Pesticides and other agrochemicals; 65.100 - Pesticides and other agrochemicals; 67.040 - Food products in general; 67.040 - Food products in general; 67.060 - Cereals, pulses and derived products; 67.060 - Cereals, pulses and derived products; 67.200 - Edible oils and fats. Oilseeds; 67.200 - Edible oils and fats. Oilseeds</t>
  </si>
  <si>
    <t>Maximum residue limits (MRLs); Food safety; Human health; Adoption/publication/entry into force of reg.; Human health; Food safety; Maximum residue limits (MRLs)</t>
  </si>
  <si>
    <t>Draft Ministerial Regulation Prescribing Industrial Products for Prepainted Hot-Dip Zinc-Coated Flat Steel to Conform to the Standard B.E. ….</t>
  </si>
  <si>
    <t>The draft Ministerial Regulation mandates prepainted hot-dip zinc-coated flat steel to conform to the Thai Industrial Standards TIS 2131-25xx (20xx).This standard specifies technical specifications, characteristics, marking and labelling, sampling, and testing requirements for prepainted hot-dip zinc-coated flat steel, coating with a substance with zinc as the main component, in the form of sheets, strips, and corrugated sheets with minimum thickness of 0.11 mm, with pitch of 76 mm and depth of 18 mm for large corrugated sheets, and pitch of 32 mm and depth of 9 mm for small corrugated sheets.</t>
  </si>
  <si>
    <t>Prepainted hot-dip zinc-coated flat steel (ICS 77.140.50)</t>
  </si>
  <si>
    <t>77.140.50 - Flat steel products and semi-products</t>
  </si>
  <si>
    <d:r xmlns:d="http://schemas.openxmlformats.org/spreadsheetml/2006/main">
      <d:rPr>
        <d:sz val="11"/>
        <d:rFont val="Calibri"/>
      </d:rPr>
      <d:t xml:space="preserve">https://members.wto.org/crnattachments/2024/TBT/THA/24_05500_00_x.pdf</d:t>
    </d:r>
  </si>
  <si>
    <t>Draft of The Communique on Energy Labeling of Light Sources (2019/2015/EU)</t>
  </si>
  <si>
    <t>Compliance with EU legislation is aimed.</t>
  </si>
  <si>
    <t>Energy Labeling of Light Sources</t>
  </si>
  <si>
    <t>29.140 - Lamps and related equipment; 29.140 - Lamps and related equipment; 29.140 - Lamps and related equipment; 91.160 - Lighting; 91.160 - Lighting; 91.160 - Lighting</t>
  </si>
  <si>
    <t>Consumer information, labelling (TBT); Protection of the environment (TBT); Harmonization (TBT)</t>
  </si>
  <si>
    <d:r xmlns:d="http://schemas.openxmlformats.org/spreadsheetml/2006/main">
      <d:rPr>
        <d:sz val="11"/>
        <d:rFont val="Calibri"/>
      </d:rPr>
      <d:t xml:space="preserve">https://members.wto.org/crnattachments/2024/TBT/TUR/24_05490_00_e.pdf</d:t>
    </d:r>
  </si>
  <si>
    <t>Draft Resolution of the Cabinet of Ministers of Ukraine “On Amendments to the Regulation on State Border Crossing Points and Control Points and the Rules of Sanitary Protection of the Territory of Ukraine”</t>
  </si>
  <si>
    <t>The draft Resolution of the Cabinet of Ministers of Ukraine "On Amendments to the Regulation on State Border Crossing Points and Control Points and the Rules of Sanitary Protection of the Territory of Ukraine"  (hereinafter - the Draft Resolution) is aimed at protecting the population from infectious diseases, dangerous events and public health emergencies of international importance.The draft Resolution provides for the possibility of the competent authorities carrying out cargo control in compliance with medical and sanitary regulations. It states that goods cannot be imported into the terrotory of Ukraine if the competent authorities find that their importation into the territory of Ukraine poses a risk of the occurrence and spread of diseases of international importance.Based on the results of the cargo inspection, which is carried out at the border, the competent authorities can make a decision on the need for an in-depth inspection with the removal of stamps and seals, the need to take samples for appropriate research (laboratory, instrumental), and the necessary medical and sanitary measures.</t>
  </si>
  <si>
    <t>Various commodities</t>
  </si>
  <si>
    <d:r xmlns:d="http://schemas.openxmlformats.org/spreadsheetml/2006/main">
      <d:rPr>
        <d:sz val="11"/>
        <d:rFont val="Calibri"/>
      </d:rPr>
      <d:t xml:space="preserve">https://members.wto.org/crnattachments/2024/SPS/UKR/24_05498_00_x.pdf</d:t>
    </d:r>
  </si>
  <si>
    <t>Draft Communique on Energy Labelling of Refrigerating Appliances (2019/2016/EU)</t>
  </si>
  <si>
    <t>Energy Labelling of Refrigerating Appliances</t>
  </si>
  <si>
    <d:r xmlns:d="http://schemas.openxmlformats.org/spreadsheetml/2006/main">
      <d:rPr>
        <d:sz val="11"/>
        <d:rFont val="Calibri"/>
      </d:rPr>
      <d:t xml:space="preserve">https://members.wto.org/crnattachments/2024/TBT/TUR/24_05492_00_e.pdf</d:t>
    </d:r>
  </si>
  <si>
    <t>Philippines</t>
  </si>
  <si>
    <t>Draft FDA Circular “Guidelines on the Adoption of Codex Guidelines for Ready-To-Use Therapeutic Foods (RUTF) (CXG 95-2022) as Technical Regulation”</t>
  </si>
  <si>
    <t>This Circular aims to adopt the Codex Guidelines for RUTF. Specifically, it aims to:  A. Provide guidelines to all Food Business Operators (FBOs) on the use of the revised Codex Guidelines for RUTF. B. To set limits on consumption and quality factors, purity requirements, food additives, contaminants, hygiene, labeling and methods of analysis sampling based on the revised Codex Guidelines for RUTF and existing national policies. </t>
  </si>
  <si>
    <d:r xmlns:d="http://schemas.openxmlformats.org/spreadsheetml/2006/main">
      <d:rPr>
        <d:sz val="11"/>
        <d:rFont val="Calibri"/>
      </d:rPr>
      <d:t xml:space="preserve">https://members.wto.org/crnattachments/2024/TBT/PHL/24_05494_00_e.pdf</d:t>
    </d:r>
  </si>
  <si>
    <t>Established Maximum Residue Limit: Dichlorprop</t>
  </si>
  <si>
    <t>The proposed maximum residue limit (PMRL) document for dichlorprop notified in G/SPS/N/CAN/1552 (dated 21 May 2024) was adopted 14 August 2024. The proposed MRL was established via entry into the Maximum Residue Limits Database and is provided directly below: MRL (ppm)1 Raw Agricultural Commodity (RAC) and/or Processed Commodity0.02            Annual canarygrass grain1ppm = parts per millionMRLs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</si>
  <si>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dichlorprop in or on annual canarygrass (ICS codes: 65.020, 65.100, 67.040, 67.060) </t>
  </si>
  <si>
    <t>Draft Ministerial Regulation Prescribing Industrial Products for Prepainted Hot-Dip 55% Aluminium/Zinc-Coated Flat Steel to Conform to the Standard B.E. ….</t>
  </si>
  <si>
    <t>The draft Ministerial Regulation mandates prepainted hot-dip 55% aluminium/zinc-coated flat steel to conform to the Thai Industrial Standards TIS 2753-25xx(20xx).This standard specifies technical specifications, characteristics, marking and labelling, sampling, and testing requirements for prepainted hot-dip 55% aluminium/zinc-coated flat steel, coating with a substance with aluminium and zinc as the main components, in the form of sheets, strips, and corrugated sheets with minimum thickness of 0.11 mm, with pitch of 76 mm and depth of 18 mm for large corrugated sheets, and pitch of 32 mm and depth of 9 mm for small corrugated sheets.</t>
  </si>
  <si>
    <t>Prepainted hot-dip 55% aluminium/zinc-coated flat steel (ICS 77.140.50)</t>
  </si>
  <si>
    <d:r xmlns:d="http://schemas.openxmlformats.org/spreadsheetml/2006/main">
      <d:rPr>
        <d:sz val="11"/>
        <d:rFont val="Calibri"/>
      </d:rPr>
      <d:t xml:space="preserve">https://members.wto.org/crnattachments/2024/TBT/THA/24_05501_00_x.pdf</d:t>
    </d:r>
  </si>
  <si>
    <t>Regulation Concerning The Subjection Of Wooden Package Materials To Heat Treatment Process And Their Marking, which was notified through G/SPS/N/TUR/131 (10 January 2023), was now adopted and published in the Official Gazette dated 26 July 2024 and numbered 32613.Articles 1, 2 and 3, the seventh paragraph of Article 5, subparagraphs (a) and (b) of the first paragraph of Article 14 and subparagraphs (3) and (4) of paragraph (c), subparagraph (a) and the fifth paragraph of the first paragraph of Article 16, Articles 24 and 25 shall enter into force on 01/01/2025. The other provisions shall enter into force on 01/07/2025. </t>
  </si>
  <si>
    <t>Wood packaging materials</t>
  </si>
  <si>
    <t>Human health; Plant health; Pests; Territory protection; Adoption/publication/entry into force of reg.; Pests; Territory protection; Plant health; Human health</t>
  </si>
  <si>
    <d:r xmlns:d="http://schemas.openxmlformats.org/spreadsheetml/2006/main">
      <d:rPr>
        <d:sz val="11"/>
        <d:rFont val="Calibri"/>
      </d:rPr>
      <d:t xml:space="preserve">https://members.wto.org/crnattachments/2024/SPS/TUR/24_05502_00_e.pdf
https://members.wto.org/crnattachments/2024/SPS/TUR/24_05502_00_x.pdf
https://mevzuat.gov.tr/mevzuat?MevzuatNo=40877&amp;MevzuatTur=7&amp;MevzuatTertip=5</d:t>
    </d:r>
  </si>
  <si>
    <t>Draft Communique on Energy Labelling of Refrigerating Appliances with a Direct Sales Function (SGM:2021/10) (2019/2018/EU)</t>
  </si>
  <si>
    <t>Energy Labelling of Refrigerating Appliances with a Direct Sales Function.</t>
  </si>
  <si>
    <d:r xmlns:d="http://schemas.openxmlformats.org/spreadsheetml/2006/main">
      <d:rPr>
        <d:sz val="11"/>
        <d:rFont val="Calibri"/>
      </d:rPr>
      <d:t xml:space="preserve">https://members.wto.org/crnattachments/2024/TBT/TUR/24_05491_00_e.pdf</d:t>
    </d:r>
  </si>
  <si>
    <t>Approval report, Application A1247 D-allulose as a novel food; Supporting Document 1 Risk and technical assessment Application A1247 – D-allulose as a novel food.</t>
  </si>
  <si>
    <t>FSANZ has assessed an application to amend the Australia New Zealand Food Standards Code to permit the sale of D-allulose from enzymatic conversion of fructose by D-psicose 3-epimerase contained in Microbacterium foliorum as a novel food in Australia and New Zealand. The aspects of this application that are relevant to the TBT Committee are to amend the Code to:permit D-allulose in certain foods to maximum permitted levels. For details, refer to Attachment 1 in the Approval Report (refer to the link provided in 11 below);include an energy factor of 2 kJ/g for D-allulose for nutrition information labelling purposes;require the label of a food containing D-allulose to carry an advisory statement about the risk of a laxative effect from high intakes of some food classes; andpermit foods containing D-allulose to make nutrition content claims about sugars including no added sugar(s), provided existing claim conditions are met.</t>
  </si>
  <si>
    <t>Foods containing D-allulose sold in New Zealand (both imported and domestically produced)</t>
  </si>
  <si>
    <t>67.180 - Sugar. Sugar products. Starch</t>
  </si>
  <si>
    <d:r xmlns:d="http://schemas.openxmlformats.org/spreadsheetml/2006/main">
      <d:rPr>
        <d:sz val="11"/>
        <d:rFont val="Calibri"/>
      </d:rPr>
      <d:t xml:space="preserve">Documents are available from the Food Standards Australia New Zealand website:
https://www.foodstandards.gov.au/food-standards-code/applications/A1247-D-allulose-as-a-novel-food</d:t>
    </d:r>
  </si>
  <si>
    <t>GCC draft technical regulation for Salad Dressing</t>
  </si>
  <si>
    <t>Amendment for GSO 2198:2021 ‘Salad Dressing’</t>
  </si>
  <si>
    <t>ICS: 67.220.10</t>
  </si>
  <si>
    <t>67.220.10 - Spices and condiments; 67.220.10 - Spices and condiments</t>
  </si>
  <si>
    <d:r xmlns:d="http://schemas.openxmlformats.org/spreadsheetml/2006/main">
      <d:rPr>
        <d:sz val="11"/>
        <d:rFont val="Calibri"/>
      </d:rPr>
      <d:t xml:space="preserve">https://members.wto.org/crnattachments/2024/TBT/QAT/24_05371_00_e.pdf
https://members.wto.org/crnattachments/2024/TBT/QAT/24_05371_00_x.pdf
Qatar General Organization for Standardization
 QS
Doha - Qatar
QatarTBT@qs.gov.qa
Amendment attached</d:t>
    </d:r>
  </si>
  <si>
    <t>Labeling Of Food Allergens On Prepackaged Food</t>
  </si>
  <si>
    <t>The declaration of allergens on pre-packaged food  </t>
  </si>
  <si>
    <t>Food standards; Labelling</t>
  </si>
  <si>
    <d:r xmlns:d="http://schemas.openxmlformats.org/spreadsheetml/2006/main">
      <d:rPr>
        <d:sz val="11"/>
        <d:rFont val="Calibri"/>
      </d:rPr>
      <d:t xml:space="preserve">https://members.wto.org/crnattachments/2024/TBT/SAU/24_05474_00_x.pdf</d:t>
    </d:r>
  </si>
  <si>
    <t>Declaration of caffeine content on Food Establishments Menu’s Selling Away-From-Home Foods</t>
  </si>
  <si>
    <t>Declaration of caffeine content of drinks on Food Establishment Menu’s Selling Away-From-Home Foods either paper or electronic platforms menus. </t>
  </si>
  <si>
    <d:r xmlns:d="http://schemas.openxmlformats.org/spreadsheetml/2006/main">
      <d:rPr>
        <d:sz val="11"/>
        <d:rFont val="Calibri"/>
      </d:rPr>
      <d:t xml:space="preserve">https://members.wto.org/crnattachments/2024/TBT/SAU/24_05481_00_x.pdf</d:t>
    </d:r>
  </si>
  <si>
    <t>Resolución 20243040035225 del 29 de julio de 2024 "Por la cual se prorroga la entrada en vigencia de la Resolución 20223040044455 de 2022, 'Por la cual se expide el reglamento técnico aplicable a llantas neumáticas para vehículos automotores, remolques y semirremolques, sus procesos de instalación, sistemas complementarios y se dictan otras disposiciones'" (Resolution No. 20243040035225 of 29 July 2024 postponing the entry into force of Resolution No. 20223040044455 of 2022 issuing the Technical Regulation applicable to pneumatic tyres for motor vehicles, trailers and semi-trailers, their installation processes, related systems, and setting forth other provisions)</t>
  </si>
  <si>
    <t>The Republic of Colombia hereby notifies Resolution No. 20243040035225 of 29 July 2024 postponing the entry into force of Resolution No. 20223040044455 of 2022 issuing the Technical Regulation applicable to pneumatic tyres for motor vehicles, trailers and semi-trailers, their installation processes, related systems, and setting forth other provisions, which had been notified in document G/TBT/N/COL/251/Add.2. __________</t>
  </si>
  <si>
    <t>VEHICLES OTHER THAN RAILWAY OR TRAMWAY ROLLING STOCK, AND PARTS AND ACCESSORIES THEREOF (HS code(s): 87); Road vehicle tyres (ICS code(s): 83.160.10)</t>
  </si>
  <si>
    <t>87 - VEHICLES OTHER THAN RAILWAY OR TRAMWAY ROLLING STOCK, AND PARTS AND ACCESSORIES THEREOF; 87 - VEHICLES OTHER THAN RAILWAY OR TRAMWAY ROLLING STOCK, AND PARTS AND ACCESSORIES THEREOF</t>
  </si>
  <si>
    <t>83.160.10 - Road vehicle tyres; 83.160.10 - Road vehicle tyres</t>
  </si>
  <si>
    <t>Prevention of deceptive practices and consumer protection (TBT); Protection of human health or safety (TBT)</t>
  </si>
  <si>
    <d:r xmlns:d="http://schemas.openxmlformats.org/spreadsheetml/2006/main">
      <d:rPr>
        <d:sz val="11"/>
        <d:rFont val="Calibri"/>
      </d:rPr>
      <d:t xml:space="preserve">https://members.wto.org/crnattachments/2024/TBT/COL/24_05461_00_s.pdf</d:t>
    </d:r>
  </si>
  <si>
    <t>Resolución 20223040044585 del 2 de agosto de 2022 "Por la cual se expide el Reglamento Técnico aplicable a sistemas de frenado y sus componentes para uso en vehículos automotores, remolques y semirremolques y se dictan otras disposiciones" y Resolución 20243040035945 del 01 de agosto de 2024 "Por la cual se prorroga la entrada en vigencia de la Resolución 20223040044585 de 2022 'Por la cual se expide el Reglamento Técnico aplicable a sistemas de frenado y sus componentes para uso en vehículos automotores, remolques y semirremolques y se dictan otras disposiciones'" (Resolution No. 20223040044585 of 2 August 2022 issuing the Technical Regulation applicable to braking systems and their components for use in motor vehicles, trailers and semi-trailers and introducing other provisions, and Resolution No. 20243040035945 of 1 August 2024 postponing the entry into force of Resolution No. 20223040044585 of 2022 issuing the Technical Regulation applicable to braking systems and their components for use in motor vehicles, trailers and semi-trailers and introducing other provisions)</t>
  </si>
  <si>
    <t>The Republic of Colombia notifies the following Resolutions: • Resolution No. 20223040044585 of 2 August 2022 issuing the Technical Regulation applicable to braking systems and their components for use in motor vehicles, trailers and semi-trailers and introducing other provisions • Resolution No. 20243040035945 of 1 August 2024 postponing the entry into force of Resolution No. 20223040044585 of 2022 issuing the Technical Regulation applicable to braking systems and their components for use in motor vehicles, trailers and semi-trailers and introducing other provisions These Resolutions apply to braking systems and their components for use in motor vehicles with four or more wheels, trailers and semi-trailers sold in Colombia, with the aim of preventing or minimizing risks to the life and health of road users, as well as preventing practices likely to mislead consumers. __________</t>
  </si>
  <si>
    <t>Motor vehicles, trailers and semi-trailers, with regard to the braking systems in brand new motor vehicles</t>
  </si>
  <si>
    <t>43.040.40 - Braking systems; 43.040.40 - Braking systems; 87 - PAINT AND COLOUR INDUSTRIES; 87 - PAINT AND COLOUR INDUSTRIES</t>
  </si>
  <si>
    <d:r xmlns:d="http://schemas.openxmlformats.org/spreadsheetml/2006/main">
      <d:rPr>
        <d:sz val="11"/>
        <d:rFont val="Calibri"/>
      </d:rPr>
      <d:t xml:space="preserve">https://members.wto.org/crnattachments/2024/TBT/COL/final_measure/24_05464_00_s.pdf
https://members.wto.org/crnattachments/2024/TBT/COL/final_measure/24_05464_01_s.pdf
https://mintransporte.gov.co/info/mintransporte/media/anexos/RNJRgSPo.pdf</d:t>
    </d:r>
  </si>
  <si>
    <t>Prepacked Foodstuffs Labelling via Electronic Commerce Store</t>
  </si>
  <si>
    <t>This draft technical regulation applies to labels of food products offered for sale in electronic commerce stores within the geographical scope, the method of displaying them to the consumer, and the requirements related to the electronic store.</t>
  </si>
  <si>
    <d:r xmlns:d="http://schemas.openxmlformats.org/spreadsheetml/2006/main">
      <d:rPr>
        <d:sz val="11"/>
        <d:rFont val="Calibri"/>
      </d:rPr>
      <d:t xml:space="preserve">https://members.wto.org/crnattachments/2024/TBT/SAU/24_05467_00_x.pdf</d:t>
    </d:r>
  </si>
  <si>
    <t>Amendments to Rules for Direct Broadcast Satellite, Satellite Services, and 17 GHz; Updates to Forms 312 and 312–R for the International Communications Filing System; Corrections to 17 GHz Report and Order; Correction</t>
  </si>
  <si>
    <t>The Federal Communications Commission published a document in the Federal Register of 17 July 2024, announcing that the Office of Management and Budget has approved, the information collections associated with the rules adopted in three rulemakings—a Report and Order, FCC 19-93, in IB Docket No. 06-160 (DBS Licensing Report and Order); a Report and Order, FCC 20-159, in IB Docket No. 18-314 (Satellite Services Report and Order); and a Report and Order, FCC 22-63, in IB Docket Nos. 20-330 and 22-273, (17 GHz Report and Order)—and with updates to the Form 312, including Schedules A, B, and S, and Form 312-R. The document contained two errors in the Dates section.89 Federal Register (FR) 66615, Title 47 Code of Federal Regulations (CFR) Part 25https://www.govinfo.gov/content/pkg/FR-2024-08-16/html/2024-17205.htmhttps://www.govinfo.gov/content/pkg/FR-2024-08-16/pdf/2024-17205.pdfIn the Federal Register of 17 July  2024, in FR Doc. 2024-15465, on page 58072, in the second column, correct the Dates caption to read:The following are effective 16 August 2024:(1) The amendments to 47 CFR 25.108(c)(5) and (c)(6)25.114(a)(3), and 25.140(b)(6), published at 86 FR 49484 on 3 September 2021;(2) The amendments to 47 CFR 25.114(d)(7)(15), and (18)25.115(e)(g) and (k)25.117(d)(2)(v)25.140(a)(2) and (a)(3)(iii)(b)(3) through (7), and (d)25.203 and 25.264, published at 87 FR 72388 on 25 November 2022;(3) The corrections to 47 CFR 25.140 and 25.264; and(4) The revisions to FCC Form 312 (including Schedules A, B, and C) and FCC Form 312R (used as required by part 25), published at 89 FR 32427 on 26 April 2024.This correction and previous actions notified under the symbol G/TBT/N/USA/1698 are identified by IB Docket No. 20-330FCC 22-63. The Docket Folders are available on the FCC's Electronic Document Management System (EDOCS) by searching on the IB Docket No. Comments posted on Docket 20-330 are accessible via the FCC's Electronic Comment Filing System (ECFS) here</t>
  </si>
  <si>
    <t>Geostationary satellite orbit (GSO) space station</t>
  </si>
  <si>
    <t>49.020 - Aircraft and space vehicles in general; 49.020 - Aircraft and space vehicles in general; 49.020 - Aircraft and space vehicles in general; 49.140 - Space systems and operations; 49.140 - Space systems and operations; 49.140 - Space systems and operations</t>
  </si>
  <si>
    <t>Harmonization (TBT)</t>
  </si>
  <si>
    <d:r xmlns:d="http://schemas.openxmlformats.org/spreadsheetml/2006/main">
      <d:rPr>
        <d:sz val="11"/>
        <d:rFont val="Calibri"/>
      </d:rPr>
      <d:t xml:space="preserve">https://members.wto.org/crnattachments/2024/TBT/USA/24_05465_00_e.pdf</d:t>
    </d:r>
  </si>
  <si>
    <t>Draft Decision of the Council of the Eurasian Economic Commission on Amendments to the Regulation on the Common Procedure for Joint Inspections of Facilities and Sampling of Goods (Products) Subject to Veterinary Control (Supervision)</t>
  </si>
  <si>
    <t>The draft provides for amendments to the actions of the inspectors conducting veterinary inspections of third countries' establishments, it also authorizes competent authorities to exclude enterprises that have not supplied the goods (products) under control to the customs territory of the Eurasian Economic Union for 5 years from the Registry of Establishments authorised to export to the Eurasian Economic Union. The draft also specifies the conditions under which exports of the goods (products) under control from a third-country enterprise are subject to suspension. As well, the draft determines the procedure for the initiator of a joint verification (inspection) of third-country enterprises with respect to the suspension of exports from the enterprises that refuse to carry out verification (inspection) though being selected for it.</t>
  </si>
  <si>
    <t>Goods (products) subject to veterinary control</t>
  </si>
  <si>
    <d:r xmlns:d="http://schemas.openxmlformats.org/spreadsheetml/2006/main">
      <d:rPr>
        <d:sz val="11"/>
        <d:rFont val="Calibri"/>
      </d:rPr>
      <d:t xml:space="preserve">https://docs.eaeunion.org/ria/ru-ru/0106784/ria_05072024
https://members.wto.org/crnattachments/2024/SPS/RUS/24_04524_00_x.pdf
https://members.wto.org/crnattachments/2024/SPS/RUS/24_04524_01_x.pdf
</d:t>
    </d:r>
  </si>
  <si>
    <t>The draft provides for the approval of the Rules for regulation of the circulation of feed additives within the customs territory of the Eurasian Economic Union (hereinafter - the Union), which include:- common rules for the regulation of the circulation of feed additives;- a common procedure for the registration of feed additives, as well as other procedures related to registration;- a common assessment procedure with respect to the quality, safety and efficiency of feed additives, as well as criteria for their assessment;- common principles of information exchange while organizing and conducting state control (supervision) in the field of feed additives circulation;- common registration forms;- a common register of feed additives inscribed under unified Union rules;- a common information database on low-quality, unsafe feed additives, falsified and (or) counterfeit feed additives detected under state control (supervision) with respect to feed additives circulation;- a common database on animals’ adverse reactions to feed additives;- a common register of producers of feed additives, the production of which is recognized to comply with the Union’s unified requirements.</t>
  </si>
  <si>
    <d:r xmlns:d="http://schemas.openxmlformats.org/spreadsheetml/2006/main">
      <d:rPr>
        <d:sz val="11"/>
        <d:rFont val="Calibri"/>
      </d:rPr>
      <d:t xml:space="preserve">https://docs.eaeunion.org/ria/ru-ru/0106708/ria_07062024</d:t>
    </d:r>
  </si>
  <si>
    <t>FSANZ has assessed an application to amend the Australia New Zealand Food Standards Code to permit the sale of D-allulose from enzymatic conversion of fructose by D-psicose 3-epimerase contained in Microbacterium foliorum as a novel food in Australia and New Zealand. The relevant aspects of this application are to amend the Code to:permit D-allulose in certain foods to maximum permitted levels. For details, refer to Attachment A in the Approval Report (refer to the link provided in 5 above);include an energy factor of 2 kJ/g for D-allulose for nutrition information labelling purposes;require the label of a food containing D-allulose to carry an advisory statement about the risk of a laxative effect from high intakes of some food classes; andpermit foods containing D-allulose to make nutrition content claims about sugars including no added sugar(s), provided existing claim conditions are met.</t>
  </si>
  <si>
    <t>Foods containing D-allulose sold in Australia (both imported and domestically produced)</t>
  </si>
  <si>
    <d:r xmlns:d="http://schemas.openxmlformats.org/spreadsheetml/2006/main">
      <d:rPr>
        <d:sz val="11"/>
        <d:rFont val="Calibri"/>
      </d:rPr>
      <d:t xml:space="preserve">Documents are available from the Food Standards Australia New Zealand website: https://www.foodstandards.gov.au/food-standards-code/applications/A1247-D-allulose-as-a-novel-food</d:t>
    </d:r>
  </si>
  <si>
    <t>Public Consultation 43, 13 August 2024</t>
  </si>
  <si>
    <t>Public Consultation for the proposal to change the Technical and Operational Requirements for the use of radio frequency bands associated with the private limited service, provided by terrestrial systemsComments can be made at:https://apps.anatel.gov.br/ParticipaAnatel/Home.aspxSelecting Public consultation No 43</t>
  </si>
  <si>
    <t>85 - ELECTRICAL MACHINERY AND EQUIPMENT AND PARTS THEREOF; SOUND RECORDERS AND REPRODUCERS, TELEVISION IMAGE AND SOUND RECORDERS AND REPRODUCERS, AND PARTS AND ACCESSORIES OF SUCH ARTICLES</t>
  </si>
  <si>
    <d:r xmlns:d="http://schemas.openxmlformats.org/spreadsheetml/2006/main">
      <d:rPr>
        <d:sz val="11"/>
        <d:rFont val="Calibri"/>
      </d:rPr>
      <d:t xml:space="preserve">https://apps.anatel.gov.br/ParticipaAnatel/VisualizarTextoConsulta.aspx?TelaDeOrigem=2&amp;ConsultaId=20261</d:t>
    </d:r>
  </si>
  <si>
    <t>Resolución 40117 del 02 de abril de 2024 del Ministerio de Minas y Energía "Por la cual se modifica el Reglamento Técnico de Instalaciones Eléctricas – RETIE" (Resolution No. 40117 of 2 April 2024 of the Ministry of Mines and Energy amending the Technical Regulation on Electrical Installations (RETIE))</t>
  </si>
  <si>
    <t xml:space="preserve">The Republic of Colombia hereby advises that the text of Resolution No. 40117 of 2 April 2024 of the Ministry of Mines and Energy amending the Technical Regulation on Electrical Installations (RETIE), which is applicable to electrical installations, the products used within these installations and the natural and/or legal persons that operate them, has been published and submitted. __________  1 This information can be provided by including a website address, a PDF attachment, or other information on where the text of the final measure/change to the measure/interpretative guidance can be obtained.</t>
  </si>
  <si>
    <t>Insulators, copper and aluminium wires for electrical purposes, beacons, incandescent bulbs, copper and aluminium cables for electrical purposes, electric fences, insulating tape, general-purpose plugs, surge protection equipment, earthing electrodes, generators, metal fittings, manual and automatic low-voltage switches, electric motors for rated voltages exceeding 25 V, lamp-holders for incandescent bulbs, temporary earth connections, switchboards, general-purpose sockets, transmission towers, distribution and power transformers and pipes for electrical installations</t>
  </si>
  <si>
    <t>29.240 - Power transmission and distribution networks; 29.240 - Power transmission and distribution networks</t>
  </si>
  <si>
    <d:r xmlns:d="http://schemas.openxmlformats.org/spreadsheetml/2006/main">
      <d:rPr>
        <d:sz val="11"/>
        <d:rFont val="Calibri"/>
      </d:rPr>
      <d:t xml:space="preserve">https://members.wto.org/crnattachments/2024/TBT/COL/final_measure/24_05460_00_s.pdf
https://www.minenergia.gov.co/es/misional/energia-electrica-2/reglamentos-tecnicos/reglamento-t%C3%A9cnico-de-instalaciones-el%C3%A9ctricas-retie/</d:t>
    </d:r>
  </si>
  <si>
    <t>Resolución 20243040035215 del 29 de julio de 2024 "Por la cual se prorroga la entrada en vigencia de la Resolución 20223040044845 de 2022 'Por la cual se expide el reglamento técnico que establece los requisitos de las cintas retrorreflectivas para uso en vehículos automotores y sus remolques que circulen en Colombia'; y la Resolución 20223040044935 del 2022 'Por la cual se expide el reglamento técnico aplicable a sistemas de retención para uso en vehículos automotores'" (Resolution No. 20243040035215 of 29 July 2024 postponing the entry into force of Resolution No. 20223040044845 of 2022 issuing the Technical Regulation establishing the requirements applicable to retro-reflective tape for use on motor vehicles and their trailers circulating in Colombia, and Resolution No. 20223040044935 of 2022 establishing the technical regulations applicable to restraint systems for use in motor vehicles)</t>
  </si>
  <si>
    <t>The Republic of Colombia hereby notifies Resolution No. 20243040035215 of 29 July 2024 postponing the entry into force of Resolution No. 20223040044845 of 2022 issuing the Technical Regulation establishing the requirements applicable to retro-reflective tape for use on motor vehicles and their trailers circulating in Colombia, and Resolution No. 20223040044935 of 2022 establishing the technical regulations applicable to restraint systems for use in motor vehicles. The Resolutions whose entry into force has been postponed were notified in documents G/TBT/N/COL/250/Add.2 and G/TBT/N/COL/247/Add.2. __________</t>
  </si>
  <si>
    <t xml:space="preserve">Self-adhesive plates, sheets, film, foil, tape, strip and other flat shapes, of plastics, in rolls </t>
  </si>
  <si>
    <t>391910 - Self-adhesive plates, sheets, film, foil, tape, strip and other flat shapes, of plastics, in rolls &lt;= 20 cm wide; 391910 - Self-adhesive plates, sheets, film, foil, tape, strip and other flat shapes, of plastics, in rolls &lt;= 20 cm wide</t>
  </si>
  <si>
    <t>43.020 - Road vehicles in general; 43.020 - Road vehicles in general</t>
  </si>
  <si>
    <d:r xmlns:d="http://schemas.openxmlformats.org/spreadsheetml/2006/main">
      <d:rPr>
        <d:sz val="11"/>
        <d:rFont val="Calibri"/>
      </d:rPr>
      <d:t xml:space="preserve">https://members.wto.org/crnattachments/2024/TBT/COL/24_05462_00_s.pdf</d:t>
    </d:r>
  </si>
  <si>
    <t>Draft Decision of the Council of the Eurasian Economic Commission on Amendments to the Common Quarantine Phytosanitary Requirements for Quarantine Products and Quarantine Objects at the Customs Border and in the Customs Territory of the EAEU</t>
  </si>
  <si>
    <t>The draft provides for amendments to the Common Quarantine Phytosanitary Requirements for Quarantine Products and Quarantine Objects at the Customs Border and in the Customs Territory of the EAEU in terms of establishment of quarantine phytosanitary requirements in relation to new host plant species of the pathogen of bacterial wilt of grapes (Pierce's disease, Xylella fastidiosa), requirements for cutting thuja (Thuja) and yew (Taxus) branches (plants), requirements for packaging material, used when transporting the regulated products within the customs territory of the Union, exemptions for potato seeds with regard to Tomato spotted wilt virus, as well as certain editorial amendments.</t>
  </si>
  <si>
    <t>Goods (products) subject to phytosanitary control</t>
  </si>
  <si>
    <t>Plant health; Territory protection; Plant diseases</t>
  </si>
  <si>
    <d:r xmlns:d="http://schemas.openxmlformats.org/spreadsheetml/2006/main">
      <d:rPr>
        <d:sz val="11"/>
        <d:rFont val="Calibri"/>
      </d:rPr>
      <d:t xml:space="preserve">https://docs.eaeunion.org/ria/ru-ru/0106592/ria_04042024
https://members.wto.org/crnattachments/2024/SPS/RUS/24_02710_00_x.pdf
https://members.wto.org/crnattachments/2024/SPS/RUS/24_02710_01_x.pdf
</d:t>
    </d:r>
  </si>
  <si>
    <t>Draft Decision of the Collegium of the Eurasian Economic Commission on Amendments to the Regulation on Common veterinary (sanitary and veterinary) requirements for goods subject to veterinary control (surveillance)</t>
  </si>
  <si>
    <t>The draft introduces amendments in terms of allowing the Member states of the Eurasian Economic Union powers to agree and initial veterinary certificates in electronic form via e-mail, the amendments also allow the Member states to determine the date of entry of such certificates into force. The amendments cover the forms of veterinary certificates that differ from the Unified forms of veterinary certificates for goods subject to veterinary control (supervision) imported into the customs territory of the Union, approved by the Decision of the Commission of the Customs Union No. 607 of 7 April 2011. </t>
  </si>
  <si>
    <d:r xmlns:d="http://schemas.openxmlformats.org/spreadsheetml/2006/main">
      <d:rPr>
        <d:sz val="11"/>
        <d:rFont val="Calibri"/>
      </d:rPr>
      <d:t xml:space="preserve">https://docs.eaeunion.org/ria/ru-ru/0106527/ria_18032024
https://members.wto.org/crnattachments/2024/SPS/RUS/24_02711_00_x.pdf
https://members.wto.org/crnattachments/2024/SPS/RUS/24_02711_01_x.pdf
</d:t>
    </d:r>
  </si>
  <si>
    <t>Turkish Food Codex Communiqué on Eggs (2024/7)</t>
  </si>
  <si>
    <t>The purpose of this Communiqué is to determine the features to be taken into account in packaging, preservation, storage, transportation and marketing of shell eggs obtained from laying hens in a technical and hygienic manner. This Communiqué covers eggs obtained from chicken (Gallus gallus var. domesticus). It does not cover eggs and egg products from other poultry and incubated and cooked eggs.The Communiqué is largely compatible with the relevant EU legislation.This Communiqué repeals the Turkish Food Codex Communiqué on Eggs (Communiqué No: 2014/55) published in the Official Gazette dated 20.12.2014 and numbered 29211.</t>
  </si>
  <si>
    <t>040721 - Fresh eggs of domestic fowls, in shell (excl. fertilised for incubation); 040711 - Fertilised eggs for incubation, of domestic fowls</t>
  </si>
  <si>
    <d:r xmlns:d="http://schemas.openxmlformats.org/spreadsheetml/2006/main">
      <d:rPr>
        <d:sz val="11"/>
        <d:rFont val="Calibri"/>
      </d:rPr>
      <d:t xml:space="preserve">https://members.wto.org/crnattachments/2024/SPS/TUR/24_05450_00_x.pdf
https://www.tarimorman.gov.tr/GKGM/Duyuru/584/Mevzuat-Taslagi-Tgk-Yumurta-Tebligi</d:t>
    </d:r>
  </si>
  <si>
    <t>Safety seat belts for motor vehicles (HS code(s): 870821); Crash protection and restraint systems (ICS code(s): 43.040.80)</t>
  </si>
  <si>
    <t>870821 - Safety seat belts for motor vehicles; 870821 - Safety seat belts for motor vehicles</t>
  </si>
  <si>
    <t>43.040.80 - Crash protection and restraint systems; 43.040.80 - Crash protection and restraint systems</t>
  </si>
  <si>
    <t>Prevention of deceptive practices and consumer protection (TBT); Protection of human health or safety (TBT); Protection of animal or plant life or health (TBT)</t>
  </si>
  <si>
    <d:r xmlns:d="http://schemas.openxmlformats.org/spreadsheetml/2006/main">
      <d:rPr>
        <d:sz val="11"/>
        <d:rFont val="Calibri"/>
      </d:rPr>
      <d:t xml:space="preserve">https://members.wto.org/crnattachments/2024/TBT/COL/24_05463_00_s.pdf</d:t>
    </d:r>
  </si>
  <si>
    <t>Accessibility of User Interfaces, and Video Programming Guides and Menus</t>
  </si>
  <si>
    <t>In this document, the Federal Communications Commission (Commission) requires manufacturers of covered apparatus and multichannel video programming distributors to make closed captioning display settings readily accessible to individuals who are deaf and hard of hearing. This action will further the Commission's efforts to enable individuals with disabilities to access video programming through closed captioning.89 Federal Register (FR) 66268, Title 47 Code of Federal Regulations (CFR) Part 79https://www.govinfo.gov/content/pkg/FR-2024-08-15/html/2024-17479.htmhttps://www.govinfo.gov/content/pkg/FR-2024-08-15/pdf/2024-17479.pdfhttps://docs.fcc.gov/public/attachments/FCC-24-79A1.pdfEffective 16 September 2024.  Compliance with 47 CFR 79.103(e) is not required until the Commission has published a document in the Federal Register announcing the compliance date.This final rule is identified by DA/FCC Number 24-79. The Docket Folder is available from the FCC's Electronic Document Management System (EDOCS) at https://www.fcc.gov/edocs/search-results?t=quick&amp;fccdaNo=24-79 and provides access to associated documents. Filings on the proceeding are accessible from the FCC's Electronic Comment Filing System (ECFS) at https://www.fcc.gov/ecfs/search/search-filings/results?q=(%22Accessibility%20of%20User%20Interfaces%22)</t>
  </si>
  <si>
    <t>Closed captioning, user interfaces</t>
  </si>
  <si>
    <t>33.040.20 - Transmission systems; 33.040.20 - Transmission systems; 33.170 - Television and radio broadcasting; 33.170 - Television and radio broadcasting</t>
  </si>
  <si>
    <d:r xmlns:d="http://schemas.openxmlformats.org/spreadsheetml/2006/main">
      <d:rPr>
        <d:sz val="11"/>
        <d:rFont val="Calibri"/>
      </d:rPr>
      <d:t xml:space="preserve">https://members.wto.org/crnattachments/2024/TBT/USA/final_measure/24_05441_00_e.pdf</d:t>
    </d:r>
  </si>
  <si>
    <t>Proposed Revision of the “Enforcement Rule of the Act on Labeling and Advertising of Foods” </t>
  </si>
  <si>
    <t>The proposed amendment is to: Expand the list of items subject to mandatory nutritional information labeling, establish a new high caffeine warning label for solid foods containing guarana, improve the warning labeling for products containing sugar alcohol, and deregulate on the consumer safety precautions labeling for frozen foods which are not supposed to be defrosted before consumption.</t>
  </si>
  <si>
    <t>Food standards; Labelling; Nutrition information</t>
  </si>
  <si>
    <d:r xmlns:d="http://schemas.openxmlformats.org/spreadsheetml/2006/main">
      <d:rPr>
        <d:sz val="11"/>
        <d:rFont val="Calibri"/>
      </d:rPr>
      <d:t xml:space="preserve">https://members.wto.org/crnattachments/2024/TBT/KOR/24_05444_00_x.pdf</d:t>
    </d:r>
  </si>
  <si>
    <t>Proposed Revision of the “Regulations on Functional Laebling or Advertising of Foods that are not Considered False Labeling or Advertising” </t>
  </si>
  <si>
    <t xml:space="preserve">The proposed amendment to the “Regulations on Functional Labeling or Advertising of Foods that are not Considered False Labeling or Advertising” is as follows:_x000D_
a. clarification of requirements, labeling guidelines, etc. of foods for functional labeling or advertising related to easing hangover.</t>
  </si>
  <si>
    <d:r xmlns:d="http://schemas.openxmlformats.org/spreadsheetml/2006/main">
      <d:rPr>
        <d:sz val="11"/>
        <d:rFont val="Calibri"/>
      </d:rPr>
      <d:t xml:space="preserve">https://members.wto.org/crnattachments/2024/TBT/KOR/24_05448_00_x.pdf</d:t>
    </d:r>
  </si>
  <si>
    <t>Environmental Protection and Management Act (Amendment of Second Schedule) Order 2024 </t>
  </si>
  <si>
    <t>Singapore’s National Environment Agency (NEA) is proposing to regulate formaldehyde in paints as a hazardous substance under the Environmental Protection and Management Act. Once the regulations take effect:The import, manufacture, and/or sale of interior paints containing equal to or more than 0.01% weight in weight of formaldehyde will be prohibited in Singapore, unless such interior paints are imported or manufactured for export or re-export purposes. In such cases, companies will be required to apply for a Hazardous Substances (HS) licence from NEA.The import, manufacture, and/or sale of paints for outdoor or industrial use, containing equal to or more than 0.01% weight in weight of formaldehyde will be required to comply with the relevant labelling requirements. The labelling requirements would not apply to paints which are imported or manufactured for export or re-export purposes. Accordingly, importers and manufacturers of interior paints would have to submit test reports to NEA, upon request, substantiating that the measured total in-can formaldehyde content in each interior paint product is less than 0.01% weight in weight. Such test reports would have to be prepared by accredited laboratories, such as those accredited by accreditation bodies which are signatories to the International Laboratory Accreditation Cooperation Mutual Recognition Arrangement (ILAC MRA). </t>
  </si>
  <si>
    <t>HS Heading Description  32081020Anti-fouling or anti-corrosive paints for ships' hulls based on polyesters in non-aqueous medium 32081090  Other paints based on polyesters in non-aqueous medium &amp; solutions 32082040  Anti-fouling or anti-corrosive paints of acrylic or vinyl polymers in non-aqueous medium for ship hull 32082090Other paints &amp; varnishes in non-aqueous medium &amp; solutions based on acrylic or vinyl polymers 32089030  Anti-fouling or anti-corrosive paints for ships' hulls based on other polymers in non-aqueous medium 32089090  Other paints in non-aqueous medium &amp; solutions based on other polymers 32091050 Anti-fouling or anti-corrosive paints of acrylic or vinyl polymers in aqueous medium for ships hulls 32091090 Other paints &amp; varnishes of acrylic or vinyl polymers in aqueous medium 32099000 Other paints &amp; varnishes of synthetic or chemically modified natural polymers in aqueous medium 32100091 Anti-fouling or anti-corrosive paints for ships hulls 32100099 Other paints &amp; varnishes </t>
  </si>
  <si>
    <t>321000 - Paints and varnishes, incl. enamels, lacquers and distempers (excl. those based on synthetic polymers or chemically modified natural polymers that are dispersed or dissolved in a medium); prepared water pigments of a kind used for finishing leather; 320990 - Paints and varnishes, incl. enamels and lacquers, based on synthetic or chemically modified natural polymers, dispersed or dissolved in an aqueous medium (excl. those based on acrylic or vinyl polymers); 320910 - Paints and varnishes, incl. enamels and lacquers, based on acrylic or vinyl polymers, dispersed or dissolved in an aqueous medium; 320890 - Paints and varnishes based, incl. enamels and lacquers, on synthetic polymers or chemically modified natural polymers, dispersed or dissolved in a non-aqueous medium, and solutions of products of headings 3901 to 3913 in volatile organic solvents, containing &gt; 50% solvent by weight (excl. those based on polyesters and acrylic or vinyl polymers and solutions of collodion); 320820 - Paints and varnishes, incl. enamels and lacquers, based on acrylic or vinyl polymers, dispersed or dissolved in a non-aqueous medium; solutions based on acrylic or vinyl polymers in volatile organic solvents, containing &gt; 50% solvent by weight; 320810 - Paints and varnishes, incl. enamels and lacquers, based on polyesters, dispersed or dissolved in a non-aqueous medium; solutions based on polyesters in volatile organic solvents, containing &gt; 50% solvent by weight</t>
  </si>
  <si>
    <t>87.040 - Paints and varnishes; 87.060 - Paint ingredients</t>
  </si>
  <si>
    <t>Draft FDA Circular "Guidelines on the Adoption of Codex Standard For Follow-Up Formula For Older Infants And Product For Young Children (CXS 156-1987) as Technical Regulation"</t>
  </si>
  <si>
    <t>This Circular aims to adopt the revised Codex Standard for Follow Up Formula and Product for Young Children. Specifically, it aims to: A. Provide guidelines to all Food Business Operators (FBOs) on the use of the revised Codex Standard for Follow Up Formula and Product for Young Children in the regulation of follow up formula and product for young children.B. To set limits on consumption and quality factors, purity requirements, food additives, contaminants, hygiene, labeling and methods of analysis sampling based on the revised Codex Standard for Follow Up Formula and Product for Young Children and existing national policies</t>
  </si>
  <si>
    <t>Milk and milk products (ICS code(s): 67.100)</t>
  </si>
  <si>
    <t>67.100 - Milk and milk products</t>
  </si>
  <si>
    <d:r xmlns:d="http://schemas.openxmlformats.org/spreadsheetml/2006/main">
      <d:rPr>
        <d:sz val="11"/>
        <d:rFont val="Calibri"/>
      </d:rPr>
      <d:t xml:space="preserve">https://members.wto.org/crnattachments/2024/TBT/PHL/24_05443_00_e.pdf
https://www.fda.gov.ph/draft-for-comments-guidelines-on-the-adoption-of-codex-standard-for-follow-up-formula-for-older-infants-and-product-for-young-children-cxs-156-1987-as-technical-regulation/</d:t>
    </d:r>
  </si>
  <si>
    <t>Proyecto de resolución "Por medio de la cual se establecen los requisitos fitosanitarios para la importación a Colombia de plantas de coralito (Kalanchoe) de origen y procedencia Estados Unidos" (Draft Resolution establishing phytosanitary requirements for the importation into Colombia of flaming katy (Kalanchoe) plants originating in and coming from the United States)</t>
  </si>
  <si>
    <t>The notified draft Resolution establishes the phytosanitary requirements for the importation into Colombia of flaming katy (Kalanchoe) plants originating in and coming from the United States.</t>
  </si>
  <si>
    <t>Flaming katy (Kalanchoe) plants</t>
  </si>
  <si>
    <d:r xmlns:d="http://schemas.openxmlformats.org/spreadsheetml/2006/main">
      <d:rPr>
        <d:sz val="11"/>
        <d:rFont val="Calibri"/>
      </d:rPr>
      <d:t xml:space="preserve">https://members.wto.org/crnattachments/2024/SPS/COL/24_05429_00_s.pdf
https://www.sucop.gov.co/entidades/ica/Normativa?IDNorma=17339</d:t>
    </d:r>
  </si>
  <si>
    <t>Approving the prioritization procedure and the risk assessment procedure for chemical substances of interest</t>
  </si>
  <si>
    <t xml:space="preserve">The Ministry of Health (MINSAL) advises that replies have been published to the comments received on the draft approving the prioritization procedure and the risk assessment procedure for chemical substances of interest, notified on 5 January 2024 in document G/TBT/N/CHL/671. __________  1 This information can be provided by including a website address, a PDF attachment, or other information on where the text of the final measure/change to the measure/interpretative guidance can be obtained.</t>
  </si>
  <si>
    <t>Chemical substances and mixtures</t>
  </si>
  <si>
    <t>71.100 - Products of the chemical industry; 71.100 - Products of the chemical industry</t>
  </si>
  <si>
    <d:r xmlns:d="http://schemas.openxmlformats.org/spreadsheetml/2006/main">
      <d:rPr>
        <d:sz val="11"/>
        <d:rFont val="Calibri"/>
      </d:rPr>
      <d:t xml:space="preserve">https://members.wto.org/crnattachments/2024/TBT/CHL/24_05432_00_s.pdf</d:t>
    </d:r>
  </si>
  <si>
    <t>Turkish Food Codex Communiqué on Meat, Meat Preparations and Meat Products</t>
  </si>
  <si>
    <t>This Communiqué sets provisions regarding the production, packaging and placing on the market of raw meat, minced meat, poultry minced meat, prepared meat preparations, mechanically separated poultry meat and meat products.The Communiqué covers product definitions and product specifications.</t>
  </si>
  <si>
    <t>Meat, Meat Preparations and Meat Products</t>
  </si>
  <si>
    <d:r xmlns:d="http://schemas.openxmlformats.org/spreadsheetml/2006/main">
      <d:rPr>
        <d:sz val="11"/>
        <d:rFont val="Calibri"/>
      </d:rPr>
      <d:t xml:space="preserve">https://members.wto.org/crnattachments/2024/TBT/TUR/24_05437_00_e.pdf</d:t>
    </d:r>
  </si>
  <si>
    <t>Proyecto de resolución "Por medio de la cual se establecen los requisitos fitosanitarios para la importación a Colombia de semillas de tijuna (Setaria sphacelata) de origen y procedencia de la República Federativa de Brasil" (Draft Resolution establishing phytosanitary requirements for the importation into Colombia of South African pigeon grass (Setaria sphacelata) seeds originating in and coming from the Federative Republic of Brazil)</t>
  </si>
  <si>
    <t>The notified draft Resolution establishes the phytosanitary requirements for the importation into Colombia of South African pigeon grass (Setaria sphacelata) seeds originating in and coming from the Federative Republic of Brazil.</t>
  </si>
  <si>
    <t>South African pigeon grass (Setaria sphacelata) seeds</t>
  </si>
  <si>
    <d:r xmlns:d="http://schemas.openxmlformats.org/spreadsheetml/2006/main">
      <d:rPr>
        <d:sz val="11"/>
        <d:rFont val="Calibri"/>
      </d:rPr>
      <d:t xml:space="preserve">https://members.wto.org/crnattachments/2024/SPS/COL/24_05430_00_s.pdf
https://www.sucop.gov.co/entidades/ica/Normativa?IDNorma=17344</d:t>
    </d:r>
  </si>
  <si>
    <t> Turkish Food Codex - Meat and Meat Products, 2012 </t>
  </si>
  <si>
    <t>Turkish Food Codex Communique on Meat and Meat Products published in the official gazette dated 5/12/2012 and numbered 28488 (Communiqué No: 2012/74) which was notified through (G/TBT/N/TUR/16) was repealed by Turkish Food Codex Communiqué on Meat, Meat Preparations And Meat Products (Communiqué No: 2018/52) dated 29/01/2019 and numbered 30670.The updating studies on the Turkish Food Codex Meat, Meat Preparations and Meat Products (Communiqué No: 2018/52) is in progress. It will be notified to the TBT Committee separately.</t>
  </si>
  <si>
    <t>Meat Products</t>
  </si>
  <si>
    <t>67.120.10 - Meat and meat products; 67.120.10 - Meat and meat products</t>
  </si>
  <si>
    <t>Communiqué On Ecodesign Requirements For Off Mode, Standby Mode, And Networked Standby Energy Consumption Of Electrical And Electronic Household And Office Equipment.</t>
  </si>
  <si>
    <t>Electrical and electronic household and office equipment must meet the the ecodesign requirements related to off mode, standby mode, and networked standby energy consumption when they are placed on the market or put into service, while also ensuring the free movement of these products within the Türkiye-EU Customs Union. This Communiqué fosters harmonization of mandatory ecodesign requirements related to off mode, standby mode, and networked standby energy consumption for electrical and electronic household and office equipment. </t>
  </si>
  <si>
    <t>This Communiqué covers household and office type electrical and electronic devices listed in Annex II.</t>
  </si>
  <si>
    <t>Consumer information, labelling (TBT); Prevention of deceptive practices and consumer protection (TBT); Protection of the environment (TBT); Quality requirements (TBT); Harmonization (TBT); Reducing trade barriers and facilitating trade (TBT)</t>
  </si>
  <si>
    <d:r xmlns:d="http://schemas.openxmlformats.org/spreadsheetml/2006/main">
      <d:rPr>
        <d:sz val="11"/>
        <d:rFont val="Calibri"/>
      </d:rPr>
      <d:t xml:space="preserve">https://members.wto.org/crnattachments/2024/TBT/TUR/24_05434_00_e.pdf</d:t>
    </d:r>
  </si>
  <si>
    <t>South Africa</t>
  </si>
  <si>
    <t>The final notice of the amended VC 9085the Compulsory Specification for Cement</t>
  </si>
  <si>
    <t>The Compulsory Specification covers the requirements for the manufacture, marking, properties and performance of cement, intended for construction use, irrespective of whether distributed in bulk or bagged form</t>
  </si>
  <si>
    <t>SALT; SULPHUR; EARTHS AND STONE; PLASTERING MATERIALS, LIME AND CEMENT (HS code(s): 25); Construction materials and building (ICS code(s): 91)</t>
  </si>
  <si>
    <t>25 - SALT; SULPHUR; EARTHS AND STONE; PLASTERING MATERIALS, LIME AND CEMENT</t>
  </si>
  <si>
    <t>91 - Construction materials and building</t>
  </si>
  <si>
    <t>Consumer information, labelling (TBT); Protection of human health or safety (TBT); Protection of the environment (TBT)</t>
  </si>
  <si>
    <d:r xmlns:d="http://schemas.openxmlformats.org/spreadsheetml/2006/main">
      <d:rPr>
        <d:sz val="11"/>
        <d:rFont val="Calibri"/>
      </d:rPr>
      <d:t xml:space="preserve">https://members.wto.org/crnattachments/2024/TBT/ZAF/24_05435_00_e.pdf</d:t>
    </d:r>
  </si>
  <si>
    <t>Draft Standards for Pesticide Residue Limits in Foods and Draft Standards for Pesticide Residue Limits in Animal Products.</t>
  </si>
  <si>
    <t>Amendment of pesticide MRLs of Acequinocyl, Afidopyropen, Buprofezin, Clothianidin, Fenpyroximate, Fipronil, Fluazifop-P-butyl, Fludioxonil, Fluxametamide, Inpyrfluxam, Ipflufenoquin, Isopyrazam, Mandipropamid, Mefentrifluconazole, Oxathiapiprolin, Picoxystrobin, Pydiflumetofen, Pyriproxyfen, Spinetoram, Spiropidion and Spirotetramate in fruits, vegetables, cereal grains, dry beans, cereal grains, tree nuts, herbs, cocoa bean, coffee bean, hops and tea. Addendum of Bacillus amyloliquefaciens PMB01 and Bacillus velezensis N17 on the List of Pesticide MRLs Omitted. Revocation of pesticide MRLs of Dichlofluanid. Addendum of Dicofol and Chlorpyrifos as pesticides prohibited for Use.Amendment of pesticide MRLs of Chlorfenapyr, Cyantraniliprole, Cyprodinil, Fluazifop-p-butyl, Imazalil, Mandipropamid, Penthiopyrad, Propamocarb hydrochloride, Pyrimethanil, Spiromesifen and Triadimenol in livestock and poultry tissue, edible offal, egg, and milk.</t>
  </si>
  <si>
    <t>Fruits, vegetables, cereal grains, dry beans, cereal grains, tree nuts, herbs, cocoa bean, coffee bean, hops and tea, livestock and poultry tissue, edible offal, eggs, and milk.</t>
  </si>
  <si>
    <t>02 - MEAT AND EDIBLE MEAT OFFAL; 0407 - Birds' eggs, in shell, fresh, preserved or cooked</t>
  </si>
  <si>
    <d:r xmlns:d="http://schemas.openxmlformats.org/spreadsheetml/2006/main">
      <d:rPr>
        <d:sz val="11"/>
        <d:rFont val="Calibri"/>
      </d:rPr>
      <d:t xml:space="preserve">https://members.wto.org/crnattachments/2024/SPS/TPKM/24_05431_00_e.pdf
https://members.wto.org/crnattachments/2024/SPS/TPKM/24_05431_01_e.pdf
https://members.wto.org/crnattachments/2024/SPS/TPKM/24_05431_00_x.pdf
https://members.wto.org/crnattachments/2024/SPS/TPKM/24_05431_01_x.pdf</d:t>
    </d:r>
  </si>
  <si>
    <t>Pharmacists Ordinance (Amendment  no. 37) 5741-1981</t>
  </si>
  <si>
    <t>Amendment no. 37 to Israel's Pharmacists Ordinance was published in Israel's Book of Laws no. 3275 on 31 July 2024 and will enter into force gradually from 1 January 2025 onward.</t>
  </si>
  <si>
    <t>Cosmetics (HS code(s): 33; 34); (ICS code(s): 71.100.70)</t>
  </si>
  <si>
    <t>33 - ESSENTIAL OILS AND RESINOIDS; PERFUMERY, COSMETIC OR TOILET PREPARATIONS; 34 - SOAP, ORGANIC SURFACE-ACTIVE AGENTS, WASHING PREPARATIONS, LUBRICATING PREPARATIONS, ARTIFICIAL WAXES, PREPARED WAXES, POLISHING OR SCOURING PREPARATIONS, CANDLES AND SIMILAR ARTICLES, MODELLING PASTES, ‘DENTAL WAXES’ AND DENTAL PREPARATIONS WITH A BASIS OF PLASTER; 34 - SOAP, ORGANIC SURFACE-ACTIVE AGENTS, WASHING PREPARATIONS, LUBRICATING PREPARATIONS, ARTIFICIAL WAXES, PREPARED WAXES, POLISHING OR SCOURING PREPARATIONS, CANDLES AND SIMILAR ARTICLES, MODELLING PASTES, ‘DENTAL WAXES’ AND DENTAL PREPARATIONS WITH A BASIS OF PLASTER; 33 - ESSENTIAL OILS AND RESINOIDS; PERFUMERY, COSMETIC OR TOILET PREPARATIONS</t>
  </si>
  <si>
    <d:r xmlns:d="http://schemas.openxmlformats.org/spreadsheetml/2006/main">
      <d:rPr>
        <d:sz val="11"/>
        <d:rFont val="Calibri"/>
      </d:rPr>
      <d:t xml:space="preserve">https://members.wto.org/crnattachments/2024/TBT/ISR/final_measure/24_05426_00_x.pdf</d:t>
    </d:r>
  </si>
  <si>
    <t>Standards Law (Adoption of mandatory provisions applicable in European law) (Amendment no. 19) 5784-2024 and Israel's Import and Export Decree (Amendment no. 6)</t>
  </si>
  <si>
    <t>The new import regime introduced in Amendment no. 19 of Israel's Standards Law and accordingly in Amendment no. 6 of Israel's Import and Export Decree, was published in Israel's Book of Laws no. 3286 on 11 August 2024 and will enter into force gradually from publication date onward.</t>
  </si>
  <si>
    <t>Products and commodities subject to Mandatory Standards</t>
  </si>
  <si>
    <t>Harmonization (TBT); Reducing trade barriers and facilitating trade (TBT)</t>
  </si>
  <si>
    <d:r xmlns:d="http://schemas.openxmlformats.org/spreadsheetml/2006/main">
      <d:rPr>
        <d:sz val="11"/>
        <d:rFont val="Calibri"/>
      </d:rPr>
      <d:t xml:space="preserve">https://members.wto.org/crnattachments/2024/TBT/ISR/final_measure/24_05425_00_x.pdf</d:t>
    </d:r>
  </si>
  <si>
    <t>Amendments to Technical Specification for Type Approval of Diaphragm Gas Meters </t>
  </si>
  <si>
    <t>The purpose of this notification is to provide the final texts of “Technical Specification for Type Approval of Diaphragm Gas Meters” and relevant dates of its implementation.The draft texts notified in G/TBT/N/TPKM/538 were adopted without changes.</t>
  </si>
  <si>
    <t>Gas Meters (HS: 902810) </t>
  </si>
  <si>
    <t>902810 - Gas meters, incl. calibrating meters therefor; 902810 - Gas meters, incl. calibrating meters therefor</t>
  </si>
  <si>
    <t>91.140.40 - Gas supply systems; 91.140.40 - Gas supply systems</t>
  </si>
  <si>
    <d:r xmlns:d="http://schemas.openxmlformats.org/spreadsheetml/2006/main">
      <d:rPr>
        <d:sz val="11"/>
        <d:rFont val="Calibri"/>
      </d:rPr>
      <d:t xml:space="preserve">https://members.wto.org/crnattachments/2024/TBT/TPKM/final_measure/24_05433_00_e.pdf
https://members.wto.org/crnattachments/2024/TBT/TPKM/final_measure/24_05433_00_x.pdf</d:t>
    </d:r>
  </si>
  <si>
    <t>Draft Resolution 1272, 12 August 2024</t>
  </si>
  <si>
    <t>This draft resolution proposes the update of active ingredients  A18 - ABAMECTIN, A26 - AZOXYSTROBINE, B26 - BIFENTRIN, C36 - CYPROCONAZOLE, C63 - LAMBDA-CYALOTHRINE, C66 - CYAZOPHAMIDE, C70 - CHLORANTRANILIPROLE, D17 - DIFLUBENZUROM, D18 - DIMETHOATE, D36 - DIFENOCONAZOLE, E05 – ETEFOM, F 49 – FLUDIOXONIL, F65 – FLUOPICOLIDE, F69 – FLUPYRADIFURONE, F76 – FLUINDAPIR, F80 – FLUOXAPIPROLINE, G05 – AMMONIUM GLUFOSINATE, I21 – INDOXACARB, I30 – IMPIRFLUXAM, I32 – ISOCYCLOSERAM, M45 – MANDIPROPAMIDE, N09 – NOVALUROM, P21 – AZOL, T32 – TEBUCONAZOLE AND T56 - ETHYLIC TRINEXAPAQUE on the Monograph List of Active Ingredients for Pesticides, Household Cleaning Products and Wood Preservatives, which was published by Normative Instruction 103 on 19 October 2021 in the Brazilian Official Gazette (DOU - Diário Oficial da União).</t>
  </si>
  <si>
    <t>Environment. Health Protection. Safety (ICS code(s): 13)</t>
  </si>
  <si>
    <d:r xmlns:d="http://schemas.openxmlformats.org/spreadsheetml/2006/main">
      <d:rPr>
        <d:sz val="11"/>
        <d:rFont val="Calibri"/>
      </d:rPr>
      <d:t xml:space="preserve">https://members.wto.org/crnattachments/2024/SPS/BRA/24_05428_00_x.pdf
Draft: https://antigo.anvisa.gov.br/documents/10181/6843918/CONSULTA+P%C3%9ABLICA+N%C2%BA+1272+GGTOX.pdf/5f05d565-5862-4c2c-a0f2-e7a5a7c6403c
Comment form:  https://www.gov.br/anvisa/pt-br/centraisdeconteudo/publicacoes/agrotoxicos/formulario-padrao-consulta-publica-ggtox.docx/view</d:t>
    </d:r>
  </si>
  <si>
    <t xml:space="preserve">Phasedown of Hydrofluorocarbons: Restrictions on the Use of HFCs Under the AIM Act in Variable Refrigerant Flow Air Conditioning Subsector; Reopening the Comment Period_x000D_
</t>
  </si>
  <si>
    <t xml:space="preserve">89 Federal Register (FR) 66029, Title 40 Code of Federal Regulations (CFR) Part 84_x000D_
https://www.govinfo.gov/content/pkg/FR-2024-08-14/html/C1-2024-17751.htmhttps://www.govinfo.gov/content/pkg/FR-2024-08-14/pdf/C1-2024-17751.pdfIn proposed rule document 2024-17751, appearing on pages 65575-65576 in the issue of Monday, 12 August 2024, make the following correction:On page 65575, in the second column, the DATES section should read as follows:DATES:  The comment period for the proposed rule published on 26 June 2024, at 89 FR 53373 (notified in G/TBT/N/USA/1954/Rev.1), is reopened to allow for the opportunity to request a public hearing. To request a public hearing, please submit a comment per the instructions in the ADDRESSES section on or before 19 August 2024. See SUPPLEMENTARY INFORMATION for information on requesting and registering for a public hearing. If no public hearing is requested, the comment period will close on 27 August 2024. If a public hearing is requested, the comment period will close on 26 September 2024.This correction and previous actions notified under the symbol G/TBT/N/USA/1954 are identified by Docket Number EPA-HQ-OAR-2021-0643. The Docket Folder is available from Regulations.gov at https://www.regulations.gov/docket/EPA-HQ-OAR-2021-0643/document and provides access to primary and supporting documents as well as comments received. Documents are also accessible from Regulations.gov by searching the Docket Number. WTO Members and their stakeholders are asked to submit comments to the USA TBT Enquiry Point by or before 4pmEastern Time on 27 August 2024. If a public hearing is requested, the comment period will close on 26 September 2024. Comments received by the USA TBT Enquiry Point from WTO Members and their stakeholders will be shared with EPA and will also be submitted to the Docket on Regulations.gov if received within the comment period.</t>
  </si>
  <si>
    <t>New residential and light commercial air conditioning and heat pump variable refrigerant flow systems that are 65,000 British thermal units per hour or greater; Hydrofluorocarbons; Environmental protection (ICS code(s): 13.020); Production in the chemical industry (ICS code(s): 71.020); Products of the chemical industry (ICS code(s): 71.100)</t>
  </si>
  <si>
    <t>13.020 - Environmental protection; 13.020 - Environmental protection; 71.020 - Production in the chemical industry; 71.020 - Production in the chemical industry; 71.080 - Organic chemicals; 71.080 - Organic chemicals; 71.080 - Organic chemicals; 71.100 - Products of the chemical industry; 71.100 - Products of the chemical industry; 13.020 - Environmental protection; 71.020 - Production in the chemical industry; 71.100 - Products of the chemical industry</t>
  </si>
  <si>
    <t>Cost saving and productivity enhancement (TBT)</t>
  </si>
  <si>
    <d:r xmlns:d="http://schemas.openxmlformats.org/spreadsheetml/2006/main">
      <d:rPr>
        <d:sz val="11"/>
        <d:rFont val="Calibri"/>
      </d:rPr>
      <d:t xml:space="preserve">https://members.wto.org/crnattachments/2024/TBT/USA/24_05427_00_e.pdf</d:t>
    </d:r>
  </si>
  <si>
    <t>Resolución N° 4.894 exenta. Reconoce el sistema que indica y delega la habilitación de establecimientos argentinos exportadores de huevos con cáscaras para consumo humano en la autoridad veterinaria competente de Argentina (Exempt Resolution No. 4.894 recognizing the system indicated and delegating the approval of Argentine establishments exporting eggs in shell for human consumption to the competent veterinary authority of Argentina)</t>
  </si>
  <si>
    <t>The notified measure recognizes the inspection, approval, control and supervision system of the competent veterinary authority of Argentina, the National Agriculture and Food Quality and Health Service (SENASA), for establishments producing eggs in shell for human consumption, and delegates the approval of such establishments for export to Chile to the above-mentioned authority. Further details can be found in the document attached to this notification.</t>
  </si>
  <si>
    <t>Eggs in shell</t>
  </si>
  <si>
    <t>Animal diseases; Animal health</t>
  </si>
  <si>
    <d:r xmlns:d="http://schemas.openxmlformats.org/spreadsheetml/2006/main">
      <d:rPr>
        <d:sz val="11"/>
        <d:rFont val="Calibri"/>
      </d:rPr>
      <d:t xml:space="preserve">https://members.wto.org/crnattachments/2024/SPS/CHL/24_05401_00_s.pdf</d:t>
    </d:r>
  </si>
  <si>
    <t>Animal Production Standards - Saudi Good Agricultural Practices</t>
  </si>
  <si>
    <t>The Ministry of Environment, Water &amp; Agriculture (MEWA) has published new documents related to the previous notification.Poultry Production Standards.The steps for registering and certifying poultry establishments according to the Saudi Good Agricultural Practices (SAUDI GAP). The proposed date of entry into force will be six months after the circulation of the addendum notification.</t>
  </si>
  <si>
    <t>All chicken products (e.g. whole chicken, breast chicken, thighs skinless boneless, chicken wings, chicken drumsticks, chicken whole leg, etc.)</t>
  </si>
  <si>
    <t>Adoption/publication/entry into force of reg.; Human health; Animal health; Food safety; Animal diseases; Modification of content/scope of regulation; Animal health; Food safety; Human health; Animal diseases</t>
  </si>
  <si>
    <d:r xmlns:d="http://schemas.openxmlformats.org/spreadsheetml/2006/main">
      <d:rPr>
        <d:sz val="11"/>
        <d:rFont val="Calibri"/>
      </d:rPr>
      <d:t xml:space="preserve">https://members.wto.org/crnattachments/2024/SPS/SAU/24_05403_00_e.pdf
https://members.wto.org/crnattachments/2024/SPS/SAU/24_05403_00_x.pdf</d:t>
    </d:r>
  </si>
  <si>
    <t>Jams, Jellies and Marmalade</t>
  </si>
  <si>
    <t>This Technical Regulation applies to Jams, Jellies and Marmalade, offered for direct consumption, including for catering purposes or for repacking if required.</t>
  </si>
  <si>
    <t>Fruits and derived products (ICS code(s): 67.080.10)</t>
  </si>
  <si>
    <t>67.080.10 - Fruits and derived products</t>
  </si>
  <si>
    <d:r xmlns:d="http://schemas.openxmlformats.org/spreadsheetml/2006/main">
      <d:rPr>
        <d:sz val="11"/>
        <d:rFont val="Calibri"/>
      </d:rPr>
      <d:t xml:space="preserve">https://members.wto.org/crnattachments/2024/TBT/QAT/24_05378_00_e.pdf
https://members.wto.org/crnattachments/2024/TBT/QAT/24_05378_00_x.pdf</d:t>
    </d:r>
  </si>
  <si>
    <t>Mongolia</t>
  </si>
  <si>
    <t>Draft  Technical regulation of production and trade of milk and dairy products, </t>
  </si>
  <si>
    <t>Since enforcement of law on 'Standardization, technical regulation and accreditation of conformity assessment" all standards became voluntary. This regulation aims to ensure the safety of production and trade of milk and milk products as well as to protect the environment, and the public interest.</t>
  </si>
  <si>
    <d:r xmlns:d="http://schemas.openxmlformats.org/spreadsheetml/2006/main">
      <d:rPr>
        <d:sz val="11"/>
        <d:rFont val="Calibri"/>
      </d:rPr>
      <d:t xml:space="preserve">https://mofa.gov.mn/files/pdf-files/hhq8lvbglgb/66b1caddeb5a6a60df09dca9.pdf</d:t>
    </d:r>
  </si>
  <si>
    <t>The Cooperation Council for the Arab States of the Gulf Technical Regulation for “Peanut Butter”</t>
  </si>
  <si>
    <t>Amendment to GSO 787:2021 ‘PEANUT BUTTER’</t>
  </si>
  <si>
    <t>Fruits. Vegetables (ICS: 67.080)</t>
  </si>
  <si>
    <t>67.080.10 - Fruits and derived products; 67.080.10 - Fruits and derived products</t>
  </si>
  <si>
    <d:r xmlns:d="http://schemas.openxmlformats.org/spreadsheetml/2006/main">
      <d:rPr>
        <d:sz val="11"/>
        <d:rFont val="Calibri"/>
      </d:rPr>
      <d:t xml:space="preserve">https://members.wto.org/crnattachments/2024/TBT/QAT/modification/24_05385_00_e.pdf
https://members.wto.org/crnattachments/2024/TBT/QAT/modification/24_05385_00_x.pdf
Qatar General Organization for Standardization
 QS
Doha - Qatar
QatarTBT@qs.gov.qa
</d:t>
    </d:r>
  </si>
  <si>
    <t>Draft Ministerial Regulation Prescribing Industrial Products for Recessed Luminaires and Recessed Air-Handling Luminaires for Use with LED Light Sources to Conform to the Standard B.E. ….</t>
  </si>
  <si>
    <t>The draft Ministerial Regulation mandates recessed luminaires and recessed air-handling luminaires for use with LED light sources to conform to the Thai Industrial Standard TIS 902 Part 2(2)-25XX(20XX) Recessed Luminaires and Recessed Air-Handling Luminaires.This draft Ministerial Regulation applies to recessed luminaires and recessed air-handling luminaires for use with LED light sources for operation from AC supply voltages up to 1000 V, consisting of one of the following:1) recessed luminaires and recessed air-handling luminaires with driver2) recessed luminaires and recessed air-handling luminaires with LED light sources3) recessed luminaires and recessed air-handling luminaires with driver and LED light sourcesThis draft Ministerial Regulation does not apply to blank luminaires.</t>
  </si>
  <si>
    <t>recessed luminaires and recessed air-handling luminaires (ICS 29.140.50)</t>
  </si>
  <si>
    <t>29.140.50 - Lighting installation systems</t>
  </si>
  <si>
    <d:r xmlns:d="http://schemas.openxmlformats.org/spreadsheetml/2006/main">
      <d:rPr>
        <d:sz val="11"/>
        <d:rFont val="Calibri"/>
      </d:rPr>
      <d:t xml:space="preserve">https://members.wto.org/crnattachments/2024/TBT/THA/24_05411_00_x.pdf</d:t>
    </d:r>
  </si>
  <si>
    <t>Pendimethalin; Pesticide Tolerance. Final Rule</t>
  </si>
  <si>
    <t xml:space="preserve">This regulation establishes tolerances for residues of 
pendimethalin in or on fig and fig, dried. BASF Corporation has 
requested these tolerances under the Federal Food, Drug, and Cosmetic 
Act (FFDCA).</t>
  </si>
  <si>
    <t>Fig and fig, dried.</t>
  </si>
  <si>
    <d:r xmlns:d="http://schemas.openxmlformats.org/spreadsheetml/2006/main">
      <d:rPr>
        <d:sz val="11"/>
        <d:rFont val="Calibri"/>
      </d:rPr>
      <d:t xml:space="preserve">https://www.govinfo.gov/content/pkg/FR-2024-07-31/html/2024-16544.htm</d:t>
    </d:r>
  </si>
  <si>
    <t>“Indoxacarb;” Pesticide Tolerances. Final Rule</t>
  </si>
  <si>
    <t xml:space="preserve">This regulation establishes tolerances for residues of 
indoxacarb in or on multiple crops listed in this document. 
Interregional Research Project Number 4 (IR-4) requested these 
tolerances under the Federal Food, Drug, and Cosmetic Act (FFDCA).</t>
  </si>
  <si>
    <t>Multiple commodities.</t>
  </si>
  <si>
    <d:r xmlns:d="http://schemas.openxmlformats.org/spreadsheetml/2006/main">
      <d:rPr>
        <d:sz val="11"/>
        <d:rFont val="Calibri"/>
      </d:rPr>
      <d:t xml:space="preserve">https://www.govinfo.gov/content/pkg/FR-2024-08-08/html/2024-17371.htm</d:t>
    </d:r>
  </si>
  <si>
    <t xml:space="preserve">Polytetrafluoroethylene; Revocation of the Tolerance Exemption 
When Used as an Inert Ingredient in Pesticide Products. Proposed Rule </t>
  </si>
  <si>
    <t xml:space="preserve">The Environmental Protection Agency (EPA or Agency) is 
proposing to revoke the tolerance exemption for residues of 
polytetrafluoroethylene (CAS No. 9002-84-0) under the Federal Food, 
Drug, and Cosmetic Act (FFDCA) when used as an inert ingredient in 
pesticide formulations. EPA is proposing to revoke this tolerance 
exemption because polytetrafluoroethylene, which has been identified as 
a per- and polyfluoroalkyl substance (PFAS), is no longer used in any 
registered pesticide product.</t>
  </si>
  <si>
    <t>Multiple Commodities.</t>
  </si>
  <si>
    <d:r xmlns:d="http://schemas.openxmlformats.org/spreadsheetml/2006/main">
      <d:rPr>
        <d:sz val="11"/>
        <d:rFont val="Calibri"/>
      </d:rPr>
      <d:t xml:space="preserve">https://www.govinfo.gov/content/pkg/FR-2024-07-16/html/2024-15564.htm</d:t>
    </d:r>
  </si>
  <si>
    <t>Draft Sanitation Standard for Contaminants and Toxins in Food</t>
  </si>
  <si>
    <t>This regulation aims to set maximum levels (ML) for Cadmium in chocolate products.</t>
  </si>
  <si>
    <t>Chocolate and  cocoa powder</t>
  </si>
  <si>
    <d:r xmlns:d="http://schemas.openxmlformats.org/spreadsheetml/2006/main">
      <d:rPr>
        <d:sz val="11"/>
        <d:rFont val="Calibri"/>
      </d:rPr>
      <d:t xml:space="preserve">https://members.wto.org/crnattachments/2024/SPS/TPKM/24_05402_00_e.pdf
https://members.wto.org/crnattachments/2024/SPS/TPKM/24_05402_00_x.pdf</d:t>
    </d:r>
  </si>
  <si>
    <t>Public Consultation No. 13, 8 August 2024</t>
  </si>
  <si>
    <t>Proposal to amend Inmetro Ordinance No. 332, 2 August 2021, which approves the conformity assessment requirements for refrigerators and similar products – Consolidated, previously notified through G/TBT/N/BRA/907/Add.10</t>
  </si>
  <si>
    <t>All products, services and processes that are subject to a conformity assessment procedure; Product and company certification</t>
  </si>
  <si>
    <d:r xmlns:d="http://schemas.openxmlformats.org/spreadsheetml/2006/main">
      <d:rPr>
        <d:sz val="11"/>
        <d:rFont val="Calibri"/>
      </d:rPr>
      <d:t xml:space="preserve">https://www.in.gov.br/en/web/dou/-/consulta-publica-n-13-de-8-de-agosto-de-2024-577628625
</d:t>
    </d:r>
  </si>
  <si>
    <t xml:space="preserve">Safety Standard for Toys: Requirements for Toys Containing Button 
Cell or Coin Cell Batteries</t>
  </si>
  <si>
    <t xml:space="preserve">Notice of proposed rulemaking - The U.S. Consumer Product Safety Commission (Commission or 
CPSC) proposes to address the risk of injury and death associated with 
children ingesting button cell or coin cell batteries obtained from 
toys by adding performance and labeling requirements for battery-
operated toys containing such batteries. The proposed requirements 
would provide the highest level of safety feasible, and are consistent 
with the Commission's recent Reese's Law rulemaking and international 
standards for electronic toys. The Commission also proposes to amend 
CPSC's list of notice of requirements (NORs) to include toys containing 
button cell or coin cell batteries.</t>
  </si>
  <si>
    <t>Toys containing button cell or coin cell batteries; Quality (ICS code(s): 03.120); Domestic safety (ICS code(s): 13.120); Mechanical testing (ICS code(s): 19.060); Other cells and batteries (ICS code(s): 29.220.99); Toys (ICS code(s): 97.200.50)</t>
  </si>
  <si>
    <t>03.120 - Quality; 13.120 - Domestic safety; 19.060 - Mechanical testing; 29.220.99 - Other cells and batteries; 97.200.50 - Toys</t>
  </si>
  <si>
    <d:r xmlns:d="http://schemas.openxmlformats.org/spreadsheetml/2006/main">
      <d:rPr>
        <d:sz val="11"/>
        <d:rFont val="Calibri"/>
      </d:rPr>
      <d:t xml:space="preserve">https://members.wto.org/crnattachments/2024/TBT/USA/24_05405_00_e.pdf</d:t>
    </d:r>
  </si>
  <si>
    <t>Draft Ministerial Regulation Prescribing Industrial Products for Fixed General Purpose Luminaires for Use with LED Light Sources to Conform to the Standard B.E. …</t>
  </si>
  <si>
    <t>The draft Ministerial Regulation mandates fixed general purpose luminaires for use with LED light sources to conform to the Thai Industrial Standard TIS 902 Part 2(1)-2563(2020) Fixed General Purpose Luminaires.This draft Ministerial Regulation applies to fixed general purpose luminaires for use with LED light sources for operation from AC supply voltages up to 1000 V, consisting of one of the following:1) luminaires with driver2) luminaires with LED light sources3) luminaires with driver and LED light sourcesThis draft Ministerial Regulation does not apply to blank luminaires.</t>
  </si>
  <si>
    <t>Fixed general purpose luminaires (ICS 29.140.40)</t>
  </si>
  <si>
    <t>29.140.40 - Luminaires</t>
  </si>
  <si>
    <d:r xmlns:d="http://schemas.openxmlformats.org/spreadsheetml/2006/main">
      <d:rPr>
        <d:sz val="11"/>
        <d:rFont val="Calibri"/>
      </d:rPr>
      <d:t xml:space="preserve">https://members.wto.org/crnattachments/2024/TBT/THA/24_05410_00_x.pdf</d:t>
    </d:r>
  </si>
  <si>
    <t>DEAS 875: 2022, Quick frozen prawns or shrimps — Specification, Second Edition.</t>
  </si>
  <si>
    <t>This Draft East African Standard specifies requirements, sampling and test methods for quick frozen prawns and shrimps.Note: This Draft East African Standard was also notified under TBT committee</t>
  </si>
  <si>
    <t>Frozen cold-water shrimps and prawns "Pandalus spp., Crangon crangon", even smoked, whether in shell or not, incl. shrimps and prawns in shell, cooked by steaming or by boiling in water (HS code(s): 030616); Frozen shrimps and prawns, even smoked, whether in shell or not, incl. shrimps and prawns in shell, cooked by steaming or by boiling in water (excl. cold-water shrimps and prawns) (HS code(s): 030617); Fish and fishery products (ICS code(s): 67.120.30)</t>
  </si>
  <si>
    <t>030617 - Frozen shrimps and prawns, even smoked, whether in shell or not, incl. shrimps and prawns in shell, cooked by steaming or by boiling in water (excl. cold-water shrimps and prawns); 030616 - Frozen cold-water shrimps and prawns "Pandalus spp., Crangon crangon", even smoked, whether in shell or not, incl. shrimps and prawns in shell, cooked by steaming or by boiling in water</t>
  </si>
  <si>
    <t>67.120.30 - Fish and fishery products</t>
  </si>
  <si>
    <d:r xmlns:d="http://schemas.openxmlformats.org/spreadsheetml/2006/main">
      <d:rPr>
        <d:sz val="11"/>
        <d:rFont val="Calibri"/>
      </d:rPr>
      <d:t xml:space="preserve">https://members.wto.org/crnattachments/2024/SPS/TZA/24_05317_00_e.pdf</d:t>
    </d:r>
  </si>
  <si>
    <t>Burundi</t>
  </si>
  <si>
    <t>DEAS 826: 2022, Dried fish — Silver cyprinid (Rastrineobola argentea) — Specification, Second Edition.</t>
  </si>
  <si>
    <t>This Draft East African Standard specifies the requirements and methods of sampling and test for dried freshwater sardines species like Rastrineobola argenteaStolothrissa tanganicaeLimnothrissa miodon, and Engraulicypris sardellaEngraulicypris bredoiBrycinus nurse intended for human consumption. NOTE: This includes common names used in EAC such as ‘Dagaa, Indagala, Isambaza’ Mukene, Muziri), Omena, Ragogi and Usipa.Note: This Draft East African Standard was also notified under TBT committee</t>
  </si>
  <si>
    <t>Fish fillets and other fish meat, whether or not minced, fresh, chilled or frozen (HS code(s): 0304); Fish and fishery products (ICS code(s): 67.120.30) Dried fish, Silver cyprinid (Rastrineobola argentea)</t>
  </si>
  <si>
    <t>0304 - Fish fillets and other fish meat, whether or not minced, fresh, chilled or frozen</t>
  </si>
  <si>
    <d:r xmlns:d="http://schemas.openxmlformats.org/spreadsheetml/2006/main">
      <d:rPr>
        <d:sz val="11"/>
        <d:rFont val="Calibri"/>
      </d:rPr>
      <d:t xml:space="preserve">https://members.wto.org/crnattachments/2024/SPS/TZA/24_05322_00_e.pdf</d:t>
    </d:r>
  </si>
  <si>
    <t>Uganda</t>
  </si>
  <si>
    <t>DEAS 828: 2022, Dried and salted dried fish — Specification, Second Edition.</t>
  </si>
  <si>
    <t>This Draft East African Standard specifies the requirements and the methods of sampling and test for dried and salted dried fish and fish products excluding dried freshwater sardines and smoked fish.Note: This Draft East African Standard was also notified under TBT committee</t>
  </si>
  <si>
    <t>Fish, fit for human consumption, dried, salted or in brine; smoked fish, fit for human consumption, whether or not cooked before or during the smoking process (HS code(s): 0305); Fish and fishery products (ICS code(s): 67.120.30), Dried and salted dried fish</t>
  </si>
  <si>
    <t>0305 - Fish, fit for human consumption, dried, salted or in brine; smoked fish, fit for human consumption, whether or not cooked before or during the smoking process</t>
  </si>
  <si>
    <d:r xmlns:d="http://schemas.openxmlformats.org/spreadsheetml/2006/main">
      <d:rPr>
        <d:sz val="11"/>
        <d:rFont val="Calibri"/>
      </d:rPr>
      <d:t xml:space="preserve">https://members.wto.org/crnattachments/2024/SPS/TZA/24_05312_00_e.pdf</d:t>
    </d:r>
  </si>
  <si>
    <t>DEAS 873: 2022, Frozen tuna loins — Specification, Second Edition.Note: This Draft East African Standard was also notified under SPS committee</t>
  </si>
  <si>
    <t>This Draft East African Standard specifies requirements, sampling and test methods for frozen tuna loins intended for human consumption.</t>
  </si>
  <si>
    <t>Frozen tunas of the genus "Thunnus" (excl. Thunnus alalunga, Thunnus albacares, Thunnus obesus, Thunnus thynnus, Thunnus orientalis and Thunnus maccoyii) (HS code(s): 030349); Fish and fishery products (ICS code(s): 67.120.30)</t>
  </si>
  <si>
    <t>030349 - Frozen tunas of the genus "Thunnus" (excl. Thunnus alalunga, Thunnus albacares, Thunnus obesus, Thunnus thynnus, Thunnus orientalis and Thunnus maccoyii)</t>
  </si>
  <si>
    <d:r xmlns:d="http://schemas.openxmlformats.org/spreadsheetml/2006/main">
      <d:rPr>
        <d:sz val="11"/>
        <d:rFont val="Calibri"/>
      </d:rPr>
      <d:t xml:space="preserve">https://members.wto.org/crnattachments/2024/TBT/TZA/24_05357_00_e.pdf</d:t>
    </d:r>
  </si>
  <si>
    <t>Rwanda</t>
  </si>
  <si>
    <t>DEAS 874: 2022, Processing and handling of prawns or shrimps — Code of practice, Second Edition</t>
  </si>
  <si>
    <t>This Draft East African standard prescribes guidelines for processing and handling of prawns or shrimps intended for human consumption.Note: This Draft East African Standard was also notified under TBT committee</t>
  </si>
  <si>
    <d:r xmlns:d="http://schemas.openxmlformats.org/spreadsheetml/2006/main">
      <d:rPr>
        <d:sz val="11"/>
        <d:rFont val="Calibri"/>
      </d:rPr>
      <d:t xml:space="preserve">https://members.wto.org/crnattachments/2024/SPS/TZA/24_05302_00_e.pdf</d:t>
    </d:r>
  </si>
  <si>
    <t>DEAS 875: 2022, Quick frozen prawns or shrimps — Specification, Second Edition.Note: This Draft East African Standard was also notified under SPS committee</t>
  </si>
  <si>
    <t>This Draft East African Standard specifies requirements, sampling and test methods for quick frozen prawns and shrimps.</t>
  </si>
  <si>
    <d:r xmlns:d="http://schemas.openxmlformats.org/spreadsheetml/2006/main">
      <d:rPr>
        <d:sz val="11"/>
        <d:rFont val="Calibri"/>
      </d:rPr>
      <d:t xml:space="preserve">https://members.wto.org/crnattachments/2024/TBT/TZA/24_05347_00_e.pdf</d:t>
    </d:r>
  </si>
  <si>
    <t>DUS DARS 942:2024, Fresh carrots — Specification, First edition</t>
  </si>
  <si>
    <t>This Draft Uganda Standard applies to carrots of varieties (cultivars) grown from Daucus carota L. to be supplied fresh to the consumer, carrots for industrial processing being excluded. Carrots may be marketed with or without leaves</t>
  </si>
  <si>
    <t>Fresh or chilled carrots and turnips (HS code(s): 070610); Vegetables and derived products (ICS code(s): 67.080.20); Fresh carrots</t>
  </si>
  <si>
    <d:r xmlns:d="http://schemas.openxmlformats.org/spreadsheetml/2006/main">
      <d:rPr>
        <d:sz val="11"/>
        <d:rFont val="Calibri"/>
      </d:rPr>
      <d:t xml:space="preserve">https://members.wto.org/crnattachments/2024/TBT/UGA/24_05286_00_e.pdf</d:t>
    </d:r>
  </si>
  <si>
    <t>DUS DARS 923:2024, Fresh Chinese cabbages , First edition</t>
  </si>
  <si>
    <t>This Draft Uganda Standard defines the quality requirements of chinese cabbages of varieties (cultivars) grown from Brassica rapa subsppekinensis (Lour).Hanelt of the long and the round types after preparation and packaging to be supplied fresh to the consumer, for industrial processing being excluded.</t>
  </si>
  <si>
    <t>Fresh or chilled cabbages, kohlrabi, kale and similar edible brassicas (excl. cauliflowers, headed broccoli and Brussels sprouts) (HS code(s): 070490); Vegetables and derived products (ICS code(s): 67.080.20); Fresh Chinese cabbages</t>
  </si>
  <si>
    <t>070490 - Fresh or chilled cabbages, kohlrabi, kale and similar edible brassicas (excl. cauliflowers, headed broccoli and Brussels sprouts)</t>
  </si>
  <si>
    <d:r xmlns:d="http://schemas.openxmlformats.org/spreadsheetml/2006/main">
      <d:rPr>
        <d:sz val="11"/>
        <d:rFont val="Calibri"/>
      </d:rPr>
      <d:t xml:space="preserve">https://members.wto.org/crnattachments/2024/TBT/UGA/24_05285_00_e.pdf</d:t>
    </d:r>
  </si>
  <si>
    <t>DUS DARS 887:2024, Fresh avocados — Specification, First Edition</t>
  </si>
  <si>
    <t>This Draft Uganda Standard applies to avocados of varieties (cultivars) grown from Persea americana Mill to be supplied fresh to the consumer, parthenocarpic fruit and avocados for industrial processing being excluded. The standard also specifies the requirements for handling, grading and packaging of the produce up to the dispatching state.</t>
  </si>
  <si>
    <t>Fresh or dried avocados (HS code(s): 080440); Fruits. Vegetables (ICS code(s): 67.080); Fresh avocados </t>
  </si>
  <si>
    <t>080440 - Fresh or dried avocados</t>
  </si>
  <si>
    <d:r xmlns:d="http://schemas.openxmlformats.org/spreadsheetml/2006/main">
      <d:rPr>
        <d:sz val="11"/>
        <d:rFont val="Calibri"/>
      </d:rPr>
      <d:t xml:space="preserve">https://members.wto.org/crnattachments/2024/TBT/UGA/24_05292_00_e.pdf</d:t>
    </d:r>
  </si>
  <si>
    <t>Mitigation of Orbital Debris in the New Space Age</t>
  </si>
  <si>
    <t xml:space="preserve">In this document, the Federal Communications Commission (FCC or Commission) announces that the Office of Management and Budget (OMB) has approved, for a period of three years, the new information collection as a result of changes adopted in a Report and Order titled “Mitigation of Orbital Debris in the New Space Age” (Orbital Debris Report and Order) and a Second Report and Order titled “Space Innovation; Mitigation of Orbital Debris in the New Space Age” (Orbital Debris Second Report and Order), and affirmed and further clarified in an Order on Reconsideration titled “Mitigation of Orbital Debris in the New Space Age” (Orbital Debris Reconsideration Order). This document announces the effective date of rules adopted in those orders that contained new or modified information collection requirements that required review and approval by OMB and that had not already been announced as effective. This document also summarizes and makes effective the rules adopted in the Orbital Debris Second Report and Order, which required space stations ending their mission in, or passing through, the low-Earth orbit region below 2000 km altitude and planning disposal through uncontrolled atmospheric re-entry to complete disposal as soon as practicable following end of mission, and no later than five years after the end of the mission. The full text is available at https://www.fcc.gov/​document/​fcc-adopts-new-5-year-rule-deorbiting-satellites-0. Effective date: The amendments to 47 CFR 25.114(d)(14), 25.121(f), 25.122(c) and (d), and 25.123(b) published at 85 FR 52422 (notified as G/TBT/N/USA/1646) on 25 August 2020, and the amendments to 47 CFR 5.64(b)(7)(iv)(A), 25.114(d)(14)(vii)(D)(1), 25.283(b), (d), and (e), and 97.207(g)(1)(vii)(D)(1) in this final rule are effective 9 September 2024.    Compliance date: Compliance with the amendments to 47 CFR 5.64(b)(7)(iv)(A), 25.114(d)(14)(vii)(D)(1), and 97.207(g)(1)(vii)(D)(1) is not required until 29 September 2024.89 Federal Register (FR) 65217, Title 47 Code of Federal Regulations (CFR) Parts 525 and 97_x000D_
https://www.govinfo.gov/content/pkg/FR-2024-08-09/html/2024-17093.htm_x000D_
https://www.govinfo.gov/content/pkg/FR-2024-08-09/pdf/2024-17093.pdf_x000D_
https://docs.fcc.gov/public/attachments/FCC-22-74A1.pdf_x000D_
All current and previous actions notified under the symbol G/TBT/N/USA/1646 are identified by IB Docket No. 22-271IB Docket No. 18-313; FCC 20-54, FCC 22-74, FCC 24-6. The Docket Folders are available on the FCC's Electronic Document Management System (EDOCS)  Filings posted to ECFS for 22-271 are accessible using this link</t>
  </si>
  <si>
    <t>Satellite orbital debris</t>
  </si>
  <si>
    <t>03.120 - Quality; 03.120 - Quality; 13.020 - Environmental protection; 13.020 - Environmental protection; 13.030 - Wastes; 13.030 - Wastes; 33.060.30 - Radio relay and fixed satellite communications systems; 33.060.30 - Radio relay and fixed satellite communications systems; 33.070.40 - Satellite; 33.070.40 - Satellite; 49.140 - Space systems and operations; 49.140 - Space systems and operations</t>
  </si>
  <si>
    <d:r xmlns:d="http://schemas.openxmlformats.org/spreadsheetml/2006/main">
      <d:rPr>
        <d:sz val="11"/>
        <d:rFont val="Calibri"/>
      </d:rPr>
      <d:t xml:space="preserve">https://members.wto.org/crnattachments/2024/TBT/USA/final_measure/24_05270_00_e.pdf
https://members.wto.org/crnattachments/2024/TBT/USA/final_measure/24_05270_01_e.pdf</d:t>
    </d:r>
  </si>
  <si>
    <t>The amendment of the “Quarantine Requirements for the Importation of Plants or Plant Products”.</t>
  </si>
  <si>
    <t>The Separate Customs Territory of Taiwan, Penghu, Kinmen and Matsu notified the draft of the "Quarantine Requirements for the Importation of Plants or Plant Products" on 14 May 2024 (G/SPS/N/TPKM/628). After reviewing of the comments from stakeholders, the proposed draft of quarantine requirements of Melon necrotic spot virus (MNSV) was revised as attachment “Revision of the proposed draft Quarantine Requirements of Melon necrotic spot virus (MNSV)”.</t>
  </si>
  <si>
    <t>Plants or plant products</t>
  </si>
  <si>
    <t>Plant health; Pests; Territory protection; Modification of content/scope of regulation; Pests; Territory protection; Plant health</t>
  </si>
  <si>
    <d:r xmlns:d="http://schemas.openxmlformats.org/spreadsheetml/2006/main">
      <d:rPr>
        <d:sz val="11"/>
        <d:rFont val="Calibri"/>
      </d:rPr>
      <d:t xml:space="preserve">https://members.wto.org/crnattachments/2024/SPS/TPKM/24_05245_00_e.pdf</d:t>
    </d:r>
  </si>
  <si>
    <t>DEAS 872: 2022, Frozen octopus — Specification, Second Edition.Note: This Draft East African Standard was also notified under SPS committee</t>
  </si>
  <si>
    <t>This Draft East African Standard specifies requirements, sampling and test methods for frozen octopus intended for human consumption.</t>
  </si>
  <si>
    <t>Octopus "Octopus spp.", frozen (HS code(s): 030752); Fish and fishery products (ICS code(s): 67.120.30)</t>
  </si>
  <si>
    <t>030752 - Octopus "Octopus spp.", frozen</t>
  </si>
  <si>
    <d:r xmlns:d="http://schemas.openxmlformats.org/spreadsheetml/2006/main">
      <d:rPr>
        <d:sz val="11"/>
        <d:rFont val="Calibri"/>
      </d:rPr>
      <d:t xml:space="preserve">https://members.wto.org/crnattachments/2024/TBT/TZA/24_05337_00_e.pdf</d:t>
    </d:r>
  </si>
  <si>
    <t>Proyecto de Resolución que aprueba texto coordinado y sistematizado de la Resolución que establece requisitos de importación para estructuras subterráneas de reproducción vegetativa de especies ornamentales (Draft Resolution approving the coordinated and consolidated text of the Resolution establishing import requirements for underground structures for the vegetative propagation of ornamental species); updates requirements for the species indicated and repeals Resolution No. 3.418 of 2002.</t>
  </si>
  <si>
    <t>The notified measure updates the phytosanitary import requirements for underground structures for the vegetative propagation of ornamental species of any origin, in accordance with the latest scientific evidence and pest risk analysis. Further details can be found in the document attached to this notification.</t>
  </si>
  <si>
    <d:r xmlns:d="http://schemas.openxmlformats.org/spreadsheetml/2006/main">
      <d:rPr>
        <d:sz val="11"/>
        <d:rFont val="Calibri"/>
      </d:rPr>
      <d:t xml:space="preserve">https://members.wto.org/crnattachments/2024/SPS/CHL/24_05293_00_s.pdf</d:t>
    </d:r>
  </si>
  <si>
    <t>DUS DARS 925:2024, Fresh broccoli — Specification, First edition</t>
  </si>
  <si>
    <t>This Draft Uganda Standard applies to broccoli of varieties (cultivars) grown from Brassica oleracea var.italica Plenck to be supplied fresh to the consumer, broccoli for industrial processing being excluded.</t>
  </si>
  <si>
    <t>Fresh or chilled cauliflowers and broccoli (HS code(s): 070410); Vegetables and derived products (ICS code(s): 67.080.20); Fresh broccoli</t>
  </si>
  <si>
    <t>070410 - Fresh or chilled cauliflowers and broccoli</t>
  </si>
  <si>
    <d:r xmlns:d="http://schemas.openxmlformats.org/spreadsheetml/2006/main">
      <d:rPr>
        <d:sz val="11"/>
        <d:rFont val="Calibri"/>
      </d:rPr>
      <d:t xml:space="preserve">https://members.wto.org/crnattachments/2024/TBT/UGA/24_05282_00_e.pdf</d:t>
    </d:r>
  </si>
  <si>
    <t>Uniform provisions concerning the approval of vehicles with regard to ISOFIX anchorage systems ISOFIX top tether anchorages and i-Size seating positions</t>
  </si>
  <si>
    <t xml:space="preserve">This Regulation applies to:_x000D_
(a) Vehicles of category M1 with regard to their ISOFIX anchorage systems and their ISOFIX top tether anchorages intended for child restraint systems. Other categories of vehicles fitted with ISOFIX anchorages have also to comply with the provisions of this Regulation;_x000D_
(b) Vehicles of any category with regard to their i-Size seating positions, if any are defined by the vehicle manufacturer.</t>
  </si>
  <si>
    <t>Crash protection and restraint systems (ICS code(s): 43.040.80)</t>
  </si>
  <si>
    <t>43.040.80 - Crash protection and restraint systems</t>
  </si>
  <si>
    <t>National security requirements (TBT); Protection of human health or safety (TBT)</t>
  </si>
  <si>
    <d:r xmlns:d="http://schemas.openxmlformats.org/spreadsheetml/2006/main">
      <d:rPr>
        <d:sz val="11"/>
        <d:rFont val="Calibri"/>
      </d:rPr>
      <d:t xml:space="preserve">https://members.wto.org/crnattachments/2024/TBT/SAU/24_05369_00_e.pdf</d:t>
    </d:r>
  </si>
  <si>
    <t>DEAS 826 : 2022,Dried fish — Silver cyprinid (Rastrineobola argentea) — Specification, Second Edition.Note: This Draft East African Standard was also notified under SPS committee</t>
  </si>
  <si>
    <t>This Draft East African Standard specifies the requirements and methods of sampling and test for dried freshwater sardines species like Rastrineobola argentea, Stolothrissa tanganicae, Limnothrissa miodon, and Engraulicypris sardella, Engraulicypris bredoi, Brycinus nurse intended for human consumption. NOTE: This includes common names used in EAC such as ‘Dagaa, Indagala, Isambaza’ Mukene, Muziri), Omena, Ragogi and Usipa.</t>
  </si>
  <si>
    <d:r xmlns:d="http://schemas.openxmlformats.org/spreadsheetml/2006/main">
      <d:rPr>
        <d:sz val="11"/>
        <d:rFont val="Calibri"/>
      </d:rPr>
      <d:t xml:space="preserve">https://members.wto.org/crnattachments/2024/TBT/TZA/24_05362_00_e.pdf</d:t>
    </d:r>
  </si>
  <si>
    <t>Uniform provisions concerning the approval of restraining devices for child occupants of power-driven vehicles ("Child Restraint Systems")</t>
  </si>
  <si>
    <t>This Regulation applies to child restraint systems which are suitable for installation in power-driven vehicles having three or more wheels, and which are not intended for use with folding (tip-up) or with side-facing seats.</t>
  </si>
  <si>
    <t>(ICS code(s): 43.040.80)</t>
  </si>
  <si>
    <d:r xmlns:d="http://schemas.openxmlformats.org/spreadsheetml/2006/main">
      <d:rPr>
        <d:sz val="11"/>
        <d:rFont val="Calibri"/>
      </d:rPr>
      <d:t xml:space="preserve">https://members.wto.org/crnattachments/2024/TBT/SAU/24_05368_00_e.pdf</d:t>
    </d:r>
  </si>
  <si>
    <t>DEAS 874: 2022, Processing and handling of prawns or shrimps — Code of practice, Second Edition.</t>
  </si>
  <si>
    <t>This Draft East African standard prescribes guidelines for processing and handling of prawns or shrimps intended for human consumption.</t>
  </si>
  <si>
    <t>Frozen cold-water shrimps and prawns "Pandalus spp., Crangon crangon", even smoked, whether in shell or not, incl. shrimps and prawns in shell, cooked by steaming or by boiling in water (HS code(s): 030616); Frozen shrimps and prawns, even smoked, whether in shell or not, incl. shrimps and prawns in shell, cooked by steaming or by boiling in water (excl. cold-water shrimps and prawns) (HS code(s): 030617); Fish and fishery products (ICS code(s): 67.120.30)Code of practice for processing and handling of prawns or shrimps </t>
  </si>
  <si>
    <t>030616 - Frozen cold-water shrimps and prawns "Pandalus spp., Crangon crangon", even smoked, whether in shell or not, incl. shrimps and prawns in shell, cooked by steaming or by boiling in water; 030617 - Frozen shrimps and prawns, even smoked, whether in shell or not, incl. shrimps and prawns in shell, cooked by steaming or by boiling in water (excl. cold-water shrimps and prawns)</t>
  </si>
  <si>
    <t>Prevention of deceptive practices and consumer protection (TBT); Protection of human health or safety (TBT); Protection of animal or plant life or health (TBT); Protection of the environment (TBT); Harmonization (TBT); Reducing trade barriers and facilitating trade (TBT); Cost saving and productivity enhancement (TBT)</t>
  </si>
  <si>
    <d:r xmlns:d="http://schemas.openxmlformats.org/spreadsheetml/2006/main">
      <d:rPr>
        <d:sz val="11"/>
        <d:rFont val="Calibri"/>
      </d:rPr>
      <d:t xml:space="preserve">https://members.wto.org/crnattachments/2024/TBT/TZA/24_05352_00_e.pdf</d:t>
    </d:r>
  </si>
  <si>
    <t>DEAS 873: 2022, Frozen tuna loins — Specification, Second Edition.</t>
  </si>
  <si>
    <t>This Draft East African Standard specifies requirements, sampling and test methods for frozen tuna loins intended for human consumption.Note: This Draft East African Standard was also notified under TBT committee</t>
  </si>
  <si>
    <t>Frozen tunas of the genus "Thunnus" (excl. Thunnus alalungaThunnus albacaresThunnus obesusThunnus thynnusThunnus orientalis and Thunnus maccoyii) (HS code(s): 030349); Fish and fishery products (ICS code(s): 67.120.30)</t>
  </si>
  <si>
    <d:r xmlns:d="http://schemas.openxmlformats.org/spreadsheetml/2006/main">
      <d:rPr>
        <d:sz val="11"/>
        <d:rFont val="Calibri"/>
      </d:rPr>
      <d:t xml:space="preserve">https://members.wto.org/crnattachments/2024/SPS/TZA/24_05327_00_e.pdf</d:t>
    </d:r>
  </si>
  <si>
    <t>DEAS 872: 2022, Frozen octopus — Specification, Second Edition.</t>
  </si>
  <si>
    <t>This Draft East African Standard specifies requirements, sampling and test methods for frozen octopus intended for human consumption.Note: This Draft East African Standard was also notified under TBT committee</t>
  </si>
  <si>
    <d:r xmlns:d="http://schemas.openxmlformats.org/spreadsheetml/2006/main">
      <d:rPr>
        <d:sz val="11"/>
        <d:rFont val="Calibri"/>
      </d:rPr>
      <d:t xml:space="preserve">https://members.wto.org/crnattachments/2024/SPS/TZA/24_05307_00_e.pdf</d:t>
    </d:r>
  </si>
  <si>
    <t>Cybersecurity Labeling for Internet of Things</t>
  </si>
  <si>
    <t xml:space="preserve">In this document, the Federal Communications Commission (Commission or FCC) announces that the Office of Management and Budget (OMB) has approved, for a period of three years, an information collection associated with rules establishing a voluntary cybersecurity labeling program for wireless consumer Internet of Things, or IoT, products in the Report and Order and Further Notice of Proposed Rulemaking (IoT Order). This document is consistent with the IoT Order, which stated that the Commission would publish a document in the Federal Register announcing the effective date of those rules.The compliance date for 47 CFR 8.208, 8.209, 8.212, 8.214, 8.215, 8.217, 8.218, 8.219, 8.220, 8.221, and 8.222, added on 30 July 2024, at 89 FR 61242 (notified as G/TBT/N/USA/2041/Add.4), and effective 29 August 2024, is 9 September 2024.89 Federal Register (FR) 65224, Title 47 Code of Federal Regulations (CFR) Part 8_x000D_
https://www.govinfo.gov/content/pkg/FR-2024-08-09/html/2024-17482.htm_x000D_
https://www.govinfo.gov/content/pkg/FR-2024-08-09/pdf/2024-17482.pdf_x000D_
This current and previous actions notified under the symbol G/TBT/N/USA/2041 are identified by PS Docket No. 23-239. The Docket Folder is available from the FCC's Electronic Document Management System (EDOCS) at https://www.fcc.gov/edocs/search-results?t=quick&amp;dockets=23-239 and provides access to associated documents. Filings on the proceeding are accessible from the FCC’s Electronic Comment Filing System (ECFS) at https://www.fcc.gov/ecfs/search/search-filings/results?q=(proceedings.name:(%2223-239%22))</t>
  </si>
  <si>
    <t>Devices that have at least one transducer (sensor or actuator) for interacting directly with the physical world and at least one network interface (e.g., Ethernet, Wi-Fi, Bluetooth) for interfacing with the digital world; Cybersecurity labeling; IT Security (ICS code(s): 35.030)</t>
  </si>
  <si>
    <t>35.030 - IT Security; 35.030 - IT Security</t>
  </si>
  <si>
    <d:r xmlns:d="http://schemas.openxmlformats.org/spreadsheetml/2006/main">
      <d:rPr>
        <d:sz val="11"/>
        <d:rFont val="Calibri"/>
      </d:rPr>
      <d:t xml:space="preserve">https://members.wto.org/crnattachments/2024/TBT/USA/24_05269_00_e.pdf</d:t>
    </d:r>
  </si>
  <si>
    <t>DKS 3000:2024 Self-supporting double skin metal faced insulating panels — Factory made products — Specification</t>
  </si>
  <si>
    <t>This Draft Kenya Standard specifies requirements for self-supporting, double skin metal faced insulating sandwich panels, which are intended for discontinuous laying in the following applications: a) roofs and roof cladding; b) external walls and wall cladding; c) walls (including partitions) and ceilings within the building envelope. The insulating core materials covered by this Standard are rigid polyurethane, expanded polystyrene, extruded polystyrene foam, phenolic foam, cellular glass and mineral wool.</t>
  </si>
  <si>
    <t>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 (HS code(s): 7308); Surface treatment and coating (ICS code(s): 25.220)</t>
  </si>
  <si>
    <t>7308 - 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t>
  </si>
  <si>
    <t>25.220 - Surface treatment and coating</t>
  </si>
  <si>
    <t>Consumer information, labelling (TBT); Protection of human health or safety (TBT); Quality requirements (TBT); Reducing trade barriers and facilitating trade (TBT)</t>
  </si>
  <si>
    <d:r xmlns:d="http://schemas.openxmlformats.org/spreadsheetml/2006/main">
      <d:rPr>
        <d:sz val="11"/>
        <d:rFont val="Calibri"/>
      </d:rPr>
      <d:t xml:space="preserve">https://members.wto.org/crnattachments/2024/TBT/KEN/24_05276_00_e.pdf</d:t>
    </d:r>
  </si>
  <si>
    <t>DUS DARS 888:2024, Fresh mangoes — Specification, First edition</t>
  </si>
  <si>
    <t>This Draft Uganda Standard applies to commercial varieties (cultivars) of mangoes grown from Mangifera indica L., of the Anacardiaceae family, to be supplied fresh to the consumer, after preparation and packaging. Mangoes for industrial processing are excluded.</t>
  </si>
  <si>
    <t>Fresh or dried guavas, mangoes and mangosteens (HS code(s): 080450); Fruits and derived products (ICS code(s): 67.080.10); Fresh mangoes</t>
  </si>
  <si>
    <t>080450 - Fresh or dried guavas, mangoes and mangosteens</t>
  </si>
  <si>
    <d:r xmlns:d="http://schemas.openxmlformats.org/spreadsheetml/2006/main">
      <d:rPr>
        <d:sz val="11"/>
        <d:rFont val="Calibri"/>
      </d:rPr>
      <d:t xml:space="preserve">https://members.wto.org/crnattachments/2024/TBT/UGA/24_05291_00_e.pdf</d:t>
    </d:r>
  </si>
  <si>
    <t>DUS DARS 889:2024, Fresh papaya — Specification, First edition</t>
  </si>
  <si>
    <t>This Draft Uganda Standard applies to fruits of commercial varieties of papayas grown from Carica papaya L., of the Caricaceae family, to be supplied fresh to the consumer, after preparation and packaging. Papayas for industrial processing are excluded.</t>
  </si>
  <si>
    <t>Fresh pawpaws "papayas" (HS code(s): 080720); Fruits and derived products (ICS code(s): 67.080.10); Fresh papaya </t>
  </si>
  <si>
    <t>080720 - Fresh pawpaws "papayas"</t>
  </si>
  <si>
    <d:r xmlns:d="http://schemas.openxmlformats.org/spreadsheetml/2006/main">
      <d:rPr>
        <d:sz val="11"/>
        <d:rFont val="Calibri"/>
      </d:rPr>
      <d:t xml:space="preserve">https://members.wto.org/crnattachments/2024/TBT/UGA/24_05290_00_e.pdf</d:t>
    </d:r>
  </si>
  <si>
    <t xml:space="preserve">Phasedown of Hydrofluorocarbons: Restrictions on the Use of HFCs 
Under the AIM Act in Variable Refrigerant Flow Air Conditioning 
Subsector; Reopening the Comment Period_x000D_
</t>
  </si>
  <si>
    <t xml:space="preserve">On 26 June 2024, the Environmental Protection Agency (EPA) published a proposed rule (notified as G/TBT/N/USA/1954/Rev.1) titled, Phasedown of Hydrofluorocarbons: Restrictions on the Use of Hydrofluorocarbons under the American Innovation and Manufacturing Act in Variable Refrigerant Flow Air Conditioning Subsector, to allow one additional year for the installation of certain residential and light commercial air conditioning and heat pump variable refrigerant flow systems. The proposed rule did not include notice that the Agency would hold a public hearing if one were requested. This notice reopens the comment period specifically to provide an opportunity to request a public hearing on this rulemaking if one is desired.The comment period for the proposed rule published on 26 June 2024, at 89 FR 53373, is reopened to allow for the opportunity to request a public hearing. To request a public hearing, please submit a comment per the instructions in the ADDRESSES section. If requested, EPA will hold a virtual public hearing on 19 August 2024. See SUPPLEMENTARY INFORMATION for information on requesting and registering for a public hearing. If no public hearing is requested, the comment period will close on 27 August 2024. If a public hearing is requested, the comment period will close on 26 September 2024.89 Federal Register (FR) 65575, Title 40 Code of Federal Regulations (CFR) Part 84_x000D_
https://www.govinfo.gov/content/pkg/FR-2024-08-12/html/2024-17751.htm_x000D_
https://www.govinfo.gov/content/pkg/FR-2024-08-12/pdf/2024-17751.pdf_x000D_
This reopening of comment period and previous actions notified under the symbol G/TBT/N/USA/1954 are identified by Docket Number EPA-HQ-OAR-2021-0643. The Docket Folder is available from Regulations.gov at https://www.regulations.gov/docket/EPA-HQ-OAR-2021-0643/document and provides access to primary and supporting documents as well as comments received. Documents are also accessible from Regulations.gov by searching the Docket Number. WTO Members and their stakeholders are asked to submit comments to the USA TBT Enquiry Point by or before 4pmEastern Time on 27 August 2024. If a public hearing is requested, the comment period will close on 26 September 2024. Comments received by the USA TBT Enquiry Point from WTO Members and their stakeholders will be shared with EPA and will also be submitted to the Docket on Regulations.gov if received within the comment period.</t>
  </si>
  <si>
    <t>13.020 - Environmental protection; 71.020 - Production in the chemical industry; 71.080 - Organic chemicals; 71.080 - Organic chemicals; 71.100 - Products of the chemical industry; 13.020 - Environmental protection; 71.020 - Production in the chemical industry; 71.100 - Products of the chemical industry</t>
  </si>
  <si>
    <t>Prohibited Additives Shall Not Be Used in Tobacco Products.</t>
  </si>
  <si>
    <t>Health Promotion Administration is proposing that tobacco products are prohibited from containing flavourings as announced.</t>
  </si>
  <si>
    <t>24 - TOBACCO AND MANUFACTURED TOBACCO SUBSTITUTES</t>
  </si>
  <si>
    <d:r xmlns:d="http://schemas.openxmlformats.org/spreadsheetml/2006/main">
      <d:rPr>
        <d:sz val="11"/>
        <d:rFont val="Calibri"/>
      </d:rPr>
      <d:t xml:space="preserve">https://members.wto.org/crnattachments/2024/TBT/TPKM/24_05272_00_e.pdf
https://members.wto.org/crnattachments/2024/TBT/TPKM/24_05272_00_x.pdf</d:t>
    </d:r>
  </si>
  <si>
    <t>DUS DARS 831:2024, Fresh banana — Specification, First edition</t>
  </si>
  <si>
    <t>This Draft Uganda Standard specifies the requirements of Banana varieties (cultivars) grown from Musa spp. (AAA), of the Musaceae family, entering the domestic and international trade in the fresh and natural state. Bananas for industrial processing are excluded</t>
  </si>
  <si>
    <t>Bananas, incl. plantains, fresh or dried (HS code(s): 0803); Fruits and derived products (ICS code(s): 67.080.10); Fresh banana</t>
  </si>
  <si>
    <t>0803 - Bananas, incl. plantains, fresh or dried</t>
  </si>
  <si>
    <d:r xmlns:d="http://schemas.openxmlformats.org/spreadsheetml/2006/main">
      <d:rPr>
        <d:sz val="11"/>
        <d:rFont val="Calibri"/>
      </d:rPr>
      <d:t xml:space="preserve">https://members.wto.org/crnattachments/2024/TBT/UGA/24_05274_00_e.pdf</d:t>
    </d:r>
  </si>
  <si>
    <t>Draft Resolution 1271, 5 August 2024</t>
  </si>
  <si>
    <t>This draft resolution proposes the update of active ingredients  P06 - PERMETHRIN and P34 – PYRIPROXIFEM on the Monograph List of Active Ingredients for Pesticides, Household Cleaning Products and Wood Preservatives, which was published by Normative Instruction 103 on 19 October 2021 in the Brazilian Official Gazette (DOU - Diário Oficial da União).</t>
  </si>
  <si>
    <d:r xmlns:d="http://schemas.openxmlformats.org/spreadsheetml/2006/main">
      <d:rPr>
        <d:sz val="11"/>
        <d:rFont val="Calibri"/>
      </d:rPr>
      <d:t xml:space="preserve">https://members.wto.org/crnattachments/2024/SPS/BRA/24_05300_00_x.pdf
Draft: https://antigo.anvisa.gov.br/documents/10181/6840663/CONSULTA+P%C3%9ABLICA+N%C2%BA+1271+COSAN.pdf/96867099-b9c1-4dce-b818-8a06d836b41b
Comment form: https://pesquisa.anvisa.gov.br/index.php/192211?lang=pt-BR</d:t>
    </d:r>
  </si>
  <si>
    <t>DARS 2040:2024 Motor vehicle radiators — Specification</t>
  </si>
  <si>
    <t>This Draft African Standard specifies the general requirements and test methods for automotive radiators manufactured from copper and brass with brackets of steel for use on motor cars, trucks, tractors and off -the road vehicles such as earth moving machinery. Radiators utilizing bolted or cast header tanks are excluded.</t>
  </si>
  <si>
    <t>Radiators for central heating, non-electrically heated, and parts thereof, of iron or steel; air heaters and hot-air distributors, incl. distributors which can also distribute fresh or conditioned air, non-electrically heated, incorporating a motor-driven fan or blower, and parts thereof, of iron or steel (HS code(s): 7322); Road vehicle systems (ICS code(s): 43.040)</t>
  </si>
  <si>
    <t>7322 - Radiators for central heating, non-electrically heated, and parts thereof, of iron or steel; air heaters and hot-air distributors, incl. distributors which can also distribute fresh or conditioned air, non-electrically heated, incorporating a motor-driven fan or blower, and parts thereof, of iron or steel</t>
  </si>
  <si>
    <t>43.040 - Road vehicle systems</t>
  </si>
  <si>
    <t>Consumer information, labelling (TBT); Quality requirements (TBT); Reducing trade barriers and facilitating trade (TBT)</t>
  </si>
  <si>
    <d:r xmlns:d="http://schemas.openxmlformats.org/spreadsheetml/2006/main">
      <d:rPr>
        <d:sz val="11"/>
        <d:rFont val="Calibri"/>
      </d:rPr>
      <d:t xml:space="preserve">https://members.wto.org/crnattachments/2024/TBT/KEN/24_05277_00_e.pdf</d:t>
    </d:r>
  </si>
  <si>
    <t>RTM Res. GMC Nº 03/24 - Modificación de las Resoluciones GMC Nos. 09/06 y 63/18 sobre Aditivos Alimentarios (MERCOSUR Technical Regulation, Common Market Group (GMC) Resolution No. 03/24: Amendment to GMC Resolutions Nos. 09/06 and 63/18 on food additives) (2 pages, in Spanish)</t>
  </si>
  <si>
    <t>The notified text updates the food additives and their maximum concentration levels for the following food categories: non-alcoholic beverages, meat and meat products</t>
  </si>
  <si>
    <t>67.120.10 - Meat and meat products; 67.160.20 - Non-alcoholic beverages</t>
  </si>
  <si>
    <d:r xmlns:d="http://schemas.openxmlformats.org/spreadsheetml/2006/main">
      <d:rPr>
        <d:sz val="11"/>
        <d:rFont val="Calibri"/>
      </d:rPr>
      <d:t xml:space="preserve">https://plataformaparticipacionciudadana.gub.uy/processes/modificacion-resolucion-aditivos-alimentos
</d:t>
    </d:r>
  </si>
  <si>
    <t>Draft National Technical Regulations on safety conditions for equipment for sports and recreational scuba diving activities</t>
  </si>
  <si>
    <t>This draft Technical Regulation stipulates limits for technical indicators and specifications. Safety management requirements for equipment using in recreational diving facilities.This draft technical regulation applies to: (i) organizations and individuals manufacturing, importing, distributing and selling recreational diving equipment, organizations and individuals doing business in ocean sport diving activities; and (ii) organizations performing testing, certification of conformity, evaluation and certification of equipment used in recreational diving facilities.</t>
  </si>
  <si>
    <t>sports and recreational scuba diving equipment</t>
  </si>
  <si>
    <d:r xmlns:d="http://schemas.openxmlformats.org/spreadsheetml/2006/main">
      <d:rPr>
        <d:sz val="11"/>
        <d:rFont val="Calibri"/>
      </d:rPr>
      <d:t xml:space="preserve">https://members.wto.org/crnattachments/2024/TBT/VNM/24_05336_00_x.pdf</d:t>
    </d:r>
  </si>
  <si>
    <t>DARS 2044:2024 Rubber automobile radiator hoses — Specification</t>
  </si>
  <si>
    <t>This Draft African Standard specifies materials and performance requirements and test methods for automobile radiator rubber hoses.</t>
  </si>
  <si>
    <t>- Reinforced or otherwise combined with other materials: (HS code(s): 40094); Hoses (ICS code(s): 83.140.40)</t>
  </si>
  <si>
    <t>40094 - - Reinforced or otherwise combined with other materials:</t>
  </si>
  <si>
    <t>83.140.40 - Hoses</t>
  </si>
  <si>
    <t>Consumer information, labelling (TBT); Prevention of deceptive practices and consumer protection (TBT); Quality requirements (TBT); Harmonization (TBT); Reducing trade barriers and facilitating trade (TBT)</t>
  </si>
  <si>
    <d:r xmlns:d="http://schemas.openxmlformats.org/spreadsheetml/2006/main">
      <d:rPr>
        <d:sz val="11"/>
        <d:rFont val="Calibri"/>
      </d:rPr>
      <d:t xml:space="preserve">https://members.wto.org/crnattachments/2024/TBT/KEN/24_05280_00_e.pdf</d:t>
    </d:r>
  </si>
  <si>
    <t>DEAS 828: 2022, Dried and salted dried fish — Specification, Second Edition.Note: This Draft East African Standard was also notified under SPS committee</t>
  </si>
  <si>
    <t>This Draft East African Standard specifies the requirements and the methods of sampling and test for dried and salted dried fish and fish products excluding dried freshwater sardines and smoked fish.</t>
  </si>
  <si>
    <d:r xmlns:d="http://schemas.openxmlformats.org/spreadsheetml/2006/main">
      <d:rPr>
        <d:sz val="11"/>
        <d:rFont val="Calibri"/>
      </d:rPr>
      <d:t xml:space="preserve">https://members.wto.org/crnattachments/2024/TBT/TZA/24_05342_00_e.pdf</d:t>
    </d:r>
  </si>
  <si>
    <t>Turkish Food Codex Communiqué on Cheese</t>
  </si>
  <si>
    <t>The purpose of this Communiqué is to determine the characteristics of cheeses supplied for direct consumption or further processing in order to ensure that they are produced, processed, preserved, transported and placed on the market in a technical and hygienic manner.This Communiqué covers all cheeses that are supplied directly for human consumption and/or used as raw materials or semi-products for processing into other products following the production.The Turkish Food Codex Communiqué on Cheese (Communiqué No: 2015/6) published in the Official Gazette dated 08/05/2015 and numbered 29261 will be repealed by this Communiqué.This communiqué contains changes to product specifications and labelling provisions. </t>
  </si>
  <si>
    <t>Cheese</t>
  </si>
  <si>
    <t>0406 - Cheese and curd</t>
  </si>
  <si>
    <d:r xmlns:d="http://schemas.openxmlformats.org/spreadsheetml/2006/main">
      <d:rPr>
        <d:sz val="11"/>
        <d:rFont val="Calibri"/>
      </d:rPr>
      <d:t xml:space="preserve">https://members.wto.org/crnattachments/2024/SPS/TUR/24_05241_00_x.pdf
https://www.tarimorman.gov.tr/GKGM/Duyuru/581/Mevzuat-Taslagi-Tgk-Peynir-Tebligi</d:t>
    </d:r>
  </si>
  <si>
    <t>DUS DARS 918:2024, Pomegranate fruit — Specification, First edition</t>
  </si>
  <si>
    <t>This Draft Uganda Standard applies to pomegranates of varieties (cultivars) grown from Punica granatum L. of Puniaceae family to be supplied fresh to the consumer, pomegranates for industrial processing being excluded.</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</si>
  <si>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(HS code(s): 081090); Fruits and derived products (ICS code(s): 67.080.10); Pomegranate fruit</t>
  </si>
  <si>
    <t>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t>
  </si>
  <si>
    <d:r xmlns:d="http://schemas.openxmlformats.org/spreadsheetml/2006/main">
      <d:rPr>
        <d:sz val="11"/>
        <d:rFont val="Calibri"/>
      </d:rPr>
      <d:t xml:space="preserve">https://members.wto.org/crnattachments/2024/TBT/UGA/24_05287_00_e.pdf</d:t>
    </d:r>
  </si>
  <si>
    <t>Turkish Food Codex Communiqué on Cheese </t>
  </si>
  <si>
    <t>67.100.30 - Cheese</t>
  </si>
  <si>
    <d:r xmlns:d="http://schemas.openxmlformats.org/spreadsheetml/2006/main">
      <d:rPr>
        <d:sz val="11"/>
        <d:rFont val="Calibri"/>
      </d:rPr>
      <d:t xml:space="preserve">https://members.wto.org/crnattachments/2024/TBT/TUR/24_05298_00_x.pdf</d:t>
    </d:r>
  </si>
  <si>
    <t>DUS DARS 924:2024, Fresh brussels sprouts — Specification, First edition</t>
  </si>
  <si>
    <t>This Draft Uganda Standard applies to Brussels sprouts being the axillary buds of varieties (cultivars) grown from Brassica oleracea var. gemmifera DC. to be supplied fresh to the consumer, Brussels sprouts for industrial processing being excluded.</t>
  </si>
  <si>
    <t>Brussels sprouts, fresh or chilled (HS code(s): 070420); Vegetables and derived products (ICS code(s): 67.080.20); Fresh brussels sprouts</t>
  </si>
  <si>
    <t>070420 - Brussels sprouts, fresh or chilled</t>
  </si>
  <si>
    <d:r xmlns:d="http://schemas.openxmlformats.org/spreadsheetml/2006/main">
      <d:rPr>
        <d:sz val="11"/>
        <d:rFont val="Calibri"/>
      </d:rPr>
      <d:t xml:space="preserve">https://members.wto.org/crnattachments/2024/TBT/UGA/24_05284_00_e.pdf</d:t>
    </d:r>
  </si>
  <si>
    <t>DUS DARS 926:2024, Fresh cauliflowers — Specification, First edition</t>
  </si>
  <si>
    <t>This Draft Uganda Standard applies to cauliflowers of varieties (cultivars) grown from Brassica oleracea L. convar. botrytis (L.) Alef. var. botrytis to be supplied fresh to the consumer, cauliflowers for industrial processing being excluded.</t>
  </si>
  <si>
    <t>Fresh or chilled cauliflowers and broccoli (HS code(s): 070410); Vegetables and derived products (ICS code(s): 67.080.20); Fresh cauliflowers</t>
  </si>
  <si>
    <d:r xmlns:d="http://schemas.openxmlformats.org/spreadsheetml/2006/main">
      <d:rPr>
        <d:sz val="11"/>
        <d:rFont val="Calibri"/>
      </d:rPr>
      <d:t xml:space="preserve">https://members.wto.org/crnattachments/2024/TBT/UGA/24_05283_00_e.pdf</d:t>
    </d:r>
  </si>
  <si>
    <t>DARS 2045:2024 Telescopic shock absorbers for automobile suspension damping — Specification</t>
  </si>
  <si>
    <t>This Draft African Standard specifies the general performance requirements and test methods for telescopic shock absorbers used in automobile suspension damping, not including struts and semi-struts.</t>
  </si>
  <si>
    <t>Suspension systems and parts thereof, incl. shock-absorbers, for tractors, motor vehicles for the transport of ten or more persons, motor cars and other motor vehicles principally designed for the transport of persons, motor vehicles for the transport of goods and special purpose motor vehicles, n.e.s. (HS code(s): 870880); Transmissions, suspensions (ICS code(s): 43.040.50)</t>
  </si>
  <si>
    <t>870880 - Suspension systems and parts thereof, incl. shock-absorbers, for tractors, motor vehicles for the transport of ten or more persons, motor cars and other motor vehicles principally designed for the transport of persons, motor vehicles for the transport of goods and special purpose motor vehicles, n.e.s.</t>
  </si>
  <si>
    <t>43.040.50 - Transmissions, suspensions</t>
  </si>
  <si>
    <d:r xmlns:d="http://schemas.openxmlformats.org/spreadsheetml/2006/main">
      <d:rPr>
        <d:sz val="11"/>
        <d:rFont val="Calibri"/>
      </d:rPr>
      <d:t xml:space="preserve">https://members.wto.org/crnattachments/2024/TBT/KEN/24_05281_00_e.pdf</d:t>
    </d:r>
  </si>
  <si>
    <t>Heavy-Duty Engine and Vehicle Omnibus Rule Update 2024</t>
  </si>
  <si>
    <t xml:space="preserve">On 3 July 2024, Oregon DEQ Director Leah Feldon approved to delay implementation of the Heavy-Duty Low NOx Omnibus Rules for one year. The original Heavy-Duty Low NOx Omnibus Rules were adopted as part of the Clean Truck Rules by the Environmental Quality Commission in November 2021. They require conventionally fueled heavy-duty vehicle and engine manufacturers to meet tougher NOx and particulate matter emission standards, overhaul engine testing procedures and further extend engine warranties to ensure NOx and PM emissions are reduced over the lifetime of each new vehicle and engine. The Omnibus Rules will now go into effect with engine model year 2025. This action makes permanent a similar temporary rule the Environmental Quality Commission adopted on 16 November 2023.Also, the new amendments include adoption of recent California updates that provide additional compliance flexibility to engine manufacturers. They include allowing engine manufacturers to sell a larger volume of new federally certified internal combustion engines, referred to as “legacy engines” in the rule. As one of 17 states that has adopted California’s new on-highway vehicle and engine emission standards, Oregon DEQ must periodically and routinely align its rules to remain identical to California’s as required by the federal Clean Air ActThe amendments went into effect on 15 July 2024.As part of this announcement DEQ would like to share three additional items:1. On a temporary basis, DEQ will not pursue enforcement or assess civil penalties for new school bus and solid waste collection vehicle engines that are sold or delivered for sale in Oregon in violation of: OAR 340-261-0040 Requirement to Meet California Vehicle Emission StandardsOAR 340-261-0050 Incorporation by Reference, section (1), (2) and (3)OAR 340-261-0070 RecallsFor more details on DEQ’s use of enforcement discretion in this case, please see the recent enforcement discretion and no penalty justification memorandum and associated Frequently Asked Questions2. DEQ intends to propose new rule amendments to create additional exemptions under the Omnibus Rules for school bus and solid waste collection vehicle engines.During the recently completed rulemaking process, DEQ received comments regarding exempting certain vehicle sectors from the rules. The agency’s decision to consider proposing new exemptions was informed by the following:Critical services provided by certain specialty sectorsCurrent specialty vehicle market dynamicsHistorically low sales volumes within specialty sectorsEngine manufacturer product plans and announcementsCurrent and future supply of Omnibus-certified, heavy-duty enginesAbility of specialty sector fleets to acquire legacy enginesDelayed adoption of engine manufacturer emission upgrades within specialty vehicle sectorsDEQ plans to propose these amendments by the first quarter of 2025.3. Oregon DEQ will hold a virtual meeting to briefly describe the amendments, its temporary use of enforcement discretion/no penalty justification and its plan to propose new rule amendments. There will be an opportunity for the public to ask questions on any of the above.The meeting will be open to all members of the public.Heavy-Duty Engine Emission Standard Updates (Omnibus Rule) Forum_x000D_
Monday, 19 August 2024, 3:00 p.m. - 4:30 p.m.Pacific Time_x000D_
Join via Zoom_x000D_
Join by phone: +1 253 215 8782 US (Tacoma) Toll Free: 888 475 4499_x000D_
Meeting ID: 811 3051 4480, Passcode: 051271_x000D_
Instructions for joining webinar or teleconference: InstructionsAdditional Information:Heavy-Duty Engine and Vehicle Omnibus Rule Update 2024 Rulemaking webpageHeavy-Duty Engine and Vehicle Omnibus Rule Update 2024 Rulemaking Staff ReportUpdated Medium- and Heavy-Duty Vehicle FAQ documentOregon DEQ Clean Truck Rules 2021 web pageFor more information about the recently adopted amendments or the public forum, please contact:Eric Feeley, Oregon DEQ Air Quality Plannereric.feeley@deq.oregon.gov, +1 503-915-2798</t>
  </si>
  <si>
    <t>Heavy-duty engines; Environmental protection (ICS code(s): 13.020); Transport exhaust emissions (ICS code(s): 13.040.50)</t>
  </si>
  <si>
    <t>13.020 - Environmental protection; 13.040.50 - Transport exhaust emissions; 13.020 - Environmental protection; 13.040.50 - Transport exhaust emissions</t>
  </si>
  <si>
    <d:r xmlns:d="http://schemas.openxmlformats.org/spreadsheetml/2006/main">
      <d:rPr>
        <d:sz val="11"/>
        <d:rFont val="Calibri"/>
      </d:rPr>
      <d:t xml:space="preserve">https://members.wto.org/crnattachments/2024/TBT/USA/final_measure/24_05275_00_e.pdf</d:t>
    </d:r>
  </si>
  <si>
    <t>DUS DARS 903:2024, Fresh watermelon — Specification, First edition</t>
  </si>
  <si>
    <t>This Draft Uganda Standard applies to watermelons of varieties (cultivars) grown from Citrullus lanatus (Thunberg) Matsumara &amp; Nakai (also called C. vulgaris) to be supplied fresh to the consumer, watermelons for industrial processing being excluded.</t>
  </si>
  <si>
    <t>Fresh watermelons (HS code(s): 080711); Fruits and derived products (ICS code(s): 67.080.10); Fresh watermelon</t>
  </si>
  <si>
    <d:r xmlns:d="http://schemas.openxmlformats.org/spreadsheetml/2006/main">
      <d:rPr>
        <d:sz val="11"/>
        <d:rFont val="Calibri"/>
      </d:rPr>
      <d:t xml:space="preserve">https://members.wto.org/crnattachments/2024/TBT/UGA/24_05288_00_e.pdf</d:t>
    </d:r>
  </si>
  <si>
    <t>DARS 2043:2024 Road vehicles — Fuel filters — Specification</t>
  </si>
  <si>
    <t>This Draft African Standard specifies materials, performance requirements, and test methods for road vehicles fuel filters</t>
  </si>
  <si>
    <t>Oil or petrol-filters for internal combustion engines (HS code(s): 842123); Fuel systems (ICS code(s): 43.060.40)</t>
  </si>
  <si>
    <t>842123 - Oil or petrol-filters for internal combustion engines</t>
  </si>
  <si>
    <t>43.060.40 - Fuel systems</t>
  </si>
  <si>
    <d:r xmlns:d="http://schemas.openxmlformats.org/spreadsheetml/2006/main">
      <d:rPr>
        <d:sz val="11"/>
        <d:rFont val="Calibri"/>
      </d:rPr>
      <d:t xml:space="preserve">https://members.wto.org/crnattachments/2024/TBT/KEN/24_05279_00_e.pdf</d:t>
    </d:r>
  </si>
  <si>
    <t>Uniform provisions concerning the approval of enhanced Child Restraint Systems used on board of motor vehicles (ECRS)</t>
  </si>
  <si>
    <t>This Regulation applies to Integral Universal ISOFIX Child Restraint Systems (i-Size) and Integral "Specific vehicle ISOFIX" Child Restraint Systems for child occupants of power driven vehicles.</t>
  </si>
  <si>
    <d:r xmlns:d="http://schemas.openxmlformats.org/spreadsheetml/2006/main">
      <d:rPr>
        <d:sz val="11"/>
        <d:rFont val="Calibri"/>
      </d:rPr>
      <d:t xml:space="preserve">https://members.wto.org/crnattachments/2024/TBT/SAU/24_05367_00_e.pdf</d:t>
    </d:r>
  </si>
  <si>
    <t>DUS DARS 890:2024, Passion fruit — Specification, First edition</t>
  </si>
  <si>
    <t>This Draft Uganda Standard applies to commercial varieties of passion fruit from the species golden passion fruit/sweet granadilla (Passiflora ligularis Juss), purple passion fruit (Passiflora edulis Sims forma edulis), yellow passion fruit (Passiflora edulis Sims forma flavicarpa) and their hybrids grown from the Passifloraceae family, to be supplied fresh to the consumer after preparation and packaging. Passion fruits for industrial processing are excluded.</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</si>
  <si>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(HS code(s): 081090); Fruits and derived products (ICS code(s): 67.080.10); Fresh passion fruits</t>
  </si>
  <si>
    <d:r xmlns:d="http://schemas.openxmlformats.org/spreadsheetml/2006/main">
      <d:rPr>
        <d:sz val="11"/>
        <d:rFont val="Calibri"/>
      </d:rPr>
      <d:t xml:space="preserve">https://members.wto.org/crnattachments/2024/TBT/UGA/24_05289_00_e.pdf</d:t>
    </d:r>
  </si>
  <si>
    <t>DARS 2041:2024 Oil filters — Specification</t>
  </si>
  <si>
    <t>This Draft African Standard specifies materials, performance requirements, and test methods for oil filters</t>
  </si>
  <si>
    <t>Oil or petrol-filters for internal combustion engines (HS code(s): 842123); Filters, seals and contamination of fluids (ICS code(s): 23.100.60)</t>
  </si>
  <si>
    <t>23.100.60 - Filters, seals and contamination of fluids</t>
  </si>
  <si>
    <t>Consumer information, labelling (TBT); Quality requirements (TBT); Harmonization (TBT); Reducing trade barriers and facilitating trade (TBT)</t>
  </si>
  <si>
    <d:r xmlns:d="http://schemas.openxmlformats.org/spreadsheetml/2006/main">
      <d:rPr>
        <d:sz val="11"/>
        <d:rFont val="Calibri"/>
      </d:rPr>
      <d:t xml:space="preserve">https://members.wto.org/crnattachments/2024/TBT/KEN/24_05278_00_e.pdf</d:t>
    </d:r>
  </si>
  <si>
    <t>Paraguay</t>
  </si>
  <si>
    <t>MERCOSUR/LXXXVIII SGT N° 3/PROYECTO DE RESOLUCION N° 03/24 MODIFICACIÓN DE LAS RESOLUCIONES GMC Nº 09/06 Y 63/18 SOBRE ADITIVOS ALIMENTARIOS (MERCOSUR/LXXXVIII Technical Subgroup (SGT) No. 3/Draft Resolution No. 03/24: Amendment to Common Market Group (GMC) Resolutions Nos. 09/06 and 63/18 on food additives) (2 pages, in Spanish)</t>
  </si>
  <si>
    <t>The purpose of the notified draft Resolution is to amend GMC Resolutions Nos. 09/06 and 63/18 on food additives.</t>
  </si>
  <si>
    <t>Miscellaneous edible preparations (HS code(s): 21)</t>
  </si>
  <si>
    <t>21 - MISCELLANEOUS EDIBLE PREPARATIONS</t>
  </si>
  <si>
    <t>Prevention of deceptive practices and consumer protection (TBT); Protection of human health or safety (TBT); Quality requirements (TBT); Harmonization (TBT); Reducing trade barriers and facilitating trade (TBT)</t>
  </si>
  <si>
    <d:r xmlns:d="http://schemas.openxmlformats.org/spreadsheetml/2006/main">
      <d:rPr>
        <d:sz val="11"/>
        <d:rFont val="Calibri"/>
      </d:rPr>
      <d:t xml:space="preserve">https://members.wto.org/crnattachments/2024/TBT/PRY/24_05273_00_s.pdf</d:t>
    </d:r>
  </si>
  <si>
    <t>Draft National technical regulation on Safety of Swimming pool equipment </t>
  </si>
  <si>
    <t>This draft Technical regulation stipulates limits for the technical criteria and parameters applicable to the safety management of swimming pool equipment used in training and competition facilities.This draft technical regulation applies to: (i) organizations and individuals that manufacture, import, distribute and sell swimming pool equipment, state administrative agencies related to these organizations and individuals; and (ii) Testing organizations and conformity certification organizations that assess and certify Swimming pool equipment in the territory of Vietnam.</t>
  </si>
  <si>
    <t>Swimming pool equipment (HS 9506.19.00)</t>
  </si>
  <si>
    <t>950619 - Ski equipment for winter sports (other than skis and ski-fastenings [ski-bindings])</t>
  </si>
  <si>
    <d:r xmlns:d="http://schemas.openxmlformats.org/spreadsheetml/2006/main">
      <d:rPr>
        <d:sz val="11"/>
        <d:rFont val="Calibri"/>
      </d:rPr>
      <d:t xml:space="preserve">https://members.wto.org/crnattachments/2024/TBT/VNM/24_05335_00_x.pdf</d:t>
    </d:r>
  </si>
  <si>
    <t>Energy Conservation Program: Energy Conservation Standards for Consumer Conventional Cooking Products</t>
  </si>
  <si>
    <t xml:space="preserve">The U.S. Department of Energy ("DOE'') published a direct final rule (notified as G/TBT/N/USA/998/Rev.1/Add.1) to establish new and amended energy conservation standards for consumer conventional cooking products in the Federal Register on 14 February 2024. DOE has determined that the comments received in response to the direct final rule do not provide a reasonable basis for withdrawing the direct final rule. Therefore, DOE provides this document confirming the effective and compliance dates of those standards.The effective date of 13 June 2024, for the direct final rule published on 14 February 2024 (89 FR 11434) is confirmed. Compliance with the standards established in the direct final rule will be required on 31 January 2028.89 Federal Register (FR) 65520, Title 10 Code of Federal Regulations (CFR) Part 430_x000D_
https://www.govinfo.gov/content/pkg/FR-2024-08-12/html/2024-17474.htm_x000D_
https://www.govinfo.gov/content/pkg/FR-2024-08-12/pdf/2024-17474.pdf_x000D_
This action and previous actions notified under the symbol G/TBT/N/USA/998 are identified by Docket Number EERE-2014-BT-STD-0005. The Docket Folder is available on Regulations.gov at https://www.regulations.gov/docket/EERE-2014-BT-STD-0005/document and provides access to primary and supporting documents as well as comments received. Documents are also accessible from Regulations.gov by searching the Docket Number. </t>
  </si>
  <si>
    <t>Conventional cooking products; Electric industrial or laboratory furnaces and ovens (excl. resistance heated, induction, dielectric and drying furnaces and ovens) (HS code(s): 851430); Environmental protection (ICS code(s): 13.020); Energy efficiency. Energy conservation in general (ICS code(s): 27.015); Kitchen equipment (ICS code(s): 97.040)</t>
  </si>
  <si>
    <t>851430 - Electric industrial or laboratory furnaces and ovens (excl. resistance heated, induction, dielectric and drying furnaces and ovens); 851430 - Electric industrial or laboratory furnaces and ovens (excl. resistance heated, induction, dielectric and drying furnaces and ovens)</t>
  </si>
  <si>
    <t>13.020 - Environmental protection; 97.040 - Kitchen equipment; 13.020 - Environmental protection; 27.015 - Energy efficiency. Energy conservation in general; 27.015 - Energy efficiency. Energy conservation in general; 97.040 - Kitchen equipment</t>
  </si>
  <si>
    <d:r xmlns:d="http://schemas.openxmlformats.org/spreadsheetml/2006/main">
      <d:rPr>
        <d:sz val="11"/>
        <d:rFont val="Calibri"/>
      </d:rPr>
      <d:t xml:space="preserve">https://members.wto.org/crnattachments/2024/TBT/USA/24_05332_00_e.pdf</d:t>
    </d:r>
  </si>
  <si>
    <t>Uniform provisions concerning the approval of vehicles with regard to safety-belt anchorages</t>
  </si>
  <si>
    <t xml:space="preserve">This Regulation applies to:_x000D_
Vehicles of categories M and N1 with regard to their anchorages for safety-belts intended for adult occupants of forward-facing or rearward-facing or side-facing seats;</t>
  </si>
  <si>
    <d:r xmlns:d="http://schemas.openxmlformats.org/spreadsheetml/2006/main">
      <d:rPr>
        <d:sz val="11"/>
        <d:rFont val="Calibri"/>
      </d:rPr>
      <d:t xml:space="preserve">https://members.wto.org/crnattachments/2024/TBT/SAU/24_05370_00_e.pdf</d:t>
    </d:r>
  </si>
  <si>
    <d:r xmlns:d="http://schemas.openxmlformats.org/spreadsheetml/2006/main">
      <d:rPr>
        <d:sz val="11"/>
        <d:rFont val="Calibri"/>
      </d:rPr>
      <d:t xml:space="preserve">https://members.wto.org/crnattachments/2024/SPS/UGA/24_05231_00_e.pdf</d:t>
    </d:r>
  </si>
  <si>
    <t>Electric Fence Energizer (Quality Control) Order</t>
  </si>
  <si>
    <t>Electric Fence Energizer (Quality Control) Order, 2024Electric Fence Energizeris an appliance which is intended to deliver periodically voltage impulses to a fence connected to it. In other words, an electric fence energizer is an electric device used to control the electrical pulse sent down the fence via a power source. It converts mains or battery power into a high voltage pulse.</t>
  </si>
  <si>
    <t>Electric Fence Energizer</t>
  </si>
  <si>
    <d:r xmlns:d="http://schemas.openxmlformats.org/spreadsheetml/2006/main">
      <d:rPr>
        <d:sz val="11"/>
        <d:rFont val="Calibri"/>
      </d:rPr>
      <d:t xml:space="preserve">https://members.wto.org/crnattachments/2024/TBT/IND/24_05254_00_e.pdf</d:t>
    </d:r>
  </si>
  <si>
    <d:r xmlns:d="http://schemas.openxmlformats.org/spreadsheetml/2006/main">
      <d:rPr>
        <d:sz val="11"/>
        <d:rFont val="Calibri"/>
      </d:rPr>
      <d:t xml:space="preserve">https://members.wto.org/crnattachments/2024/SPS/UGA/24_05239_00_e.pdf</d:t>
    </d:r>
  </si>
  <si>
    <t>DUS DARS 890:2024, Passion fruit — Specification, First edition</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</si>
  <si>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(HS code(s): 081090); Fruits and derived products (ICS code(s): 67.080.10)Fresh passion fruit</t>
  </si>
  <si>
    <d:r xmlns:d="http://schemas.openxmlformats.org/spreadsheetml/2006/main">
      <d:rPr>
        <d:sz val="11"/>
        <d:rFont val="Calibri"/>
      </d:rPr>
      <d:t xml:space="preserve">https://members.wto.org/crnattachments/2024/SPS/UGA/24_05249_00_e.pdf</d:t>
    </d:r>
  </si>
  <si>
    <t>DUS DARS 928:2024, Fresh lettuces, curled-leaved endives and broad-leaved (batavian) endives — Specification, First edition</t>
  </si>
  <si>
    <t>This Draft Uganda Standard applies to lettuces of varieties (cultivars) grown from: Lactuca sativa Lvar. capitata L. (head lettuces including crisphead and "Iceberg" type lettuces), Lactuca sativa L. var. longifolia Lam. (cos or romaine lettuces), Lactuca sativa L. var. crispa L. (leaf lettuces), crosses of these varieties, curled-leaved endives of varieties (cultivars) grown from Cichorium endivia L. var. crispa Lam and broad-leaved (Batavian) endives (escaroles) of varieties (cultivars) grown from Cichorium endivia L. var. latifolium Lam to be supplied fresh to the consumer. This standard does not apply to produce for industrial processing.</t>
  </si>
  <si>
    <t>Fresh or chilled lettuce (excl. cabbage lettuce) (HS code(s): 070519); Vegetables and derived products (ICS code(s): 67.080.20); Fresh lettuces, curled-leaved endives; broad-leaved (batavian) endives</t>
  </si>
  <si>
    <t>070519 - Fresh or chilled lettuce (excl. cabbage lettuce)</t>
  </si>
  <si>
    <d:r xmlns:d="http://schemas.openxmlformats.org/spreadsheetml/2006/main">
      <d:rPr>
        <d:sz val="11"/>
        <d:rFont val="Calibri"/>
      </d:rPr>
      <d:t xml:space="preserve">https://members.wto.org/crnattachments/2024/SPS/UGA/24_05229_00_e.pdf</d:t>
    </d:r>
  </si>
  <si>
    <t>Communique On Ecodesign Requirements For Household Tumble Dryers </t>
  </si>
  <si>
    <t>Household Tumble Dryers must meet the  ecodesign requirements when they are placed on the market or put into service, while also ensuring the free movement of these products within the Türkiye-EU Customs Union. This Communiqué fosters harmonization mandatory ecodesign  requirements for household tumble dryers.</t>
  </si>
  <si>
    <t>This Communiqué covers electric mains-operated and gas-fired household tumble dryers, built-in household tumble dryers, multi-drum household tumble dryers and electric mains-operated household tumble dryers that can also be powered by batteries. (3) This Communique shall not apply to;a) household washer-dryers and household spin-extractors;b) Tumble dryers within the scope of Machinery Safety Regulation (2006/42/AT) published in the Official Gazette dated 3/3/2009 and numbered 27158,c) battery-operated household tumble-dryers that can be connected to the mains through an AC/DC converter purchased separately.(4) The requirements in Sections 2 and 3, and Section 6, points (1)(a) and (1)(b) of Annex II shall not apply to household tumble dryers with a rated capacity for the eco programme of 3 kg or less.</t>
  </si>
  <si>
    <d:r xmlns:d="http://schemas.openxmlformats.org/spreadsheetml/2006/main">
      <d:rPr>
        <d:sz val="11"/>
        <d:rFont val="Calibri"/>
      </d:rPr>
      <d:t xml:space="preserve">https://members.wto.org/crnattachments/2024/TBT/TUR/24_05201_00_e.pdf</d:t>
    </d:r>
  </si>
  <si>
    <t>DUS DARS 887:2024, Fresh avocados — Specification, First edition</t>
  </si>
  <si>
    <t>This Draft Uganda standard applies to avocados of varieties (cultivars) grown from Persea americana Mill. to be supplied fresh to the consumer, parthenocarpic fruit and avocados for industrial processing being excluded. The standard also specifies the requirements for handling, grading and packaging of the produce up to the dispatching state.</t>
  </si>
  <si>
    <t>Fresh or dried avocados (HS code(s): 080440); Fruits and derived products (ICS code(s): 67.080.10); Fresh avocados </t>
  </si>
  <si>
    <d:r xmlns:d="http://schemas.openxmlformats.org/spreadsheetml/2006/main">
      <d:rPr>
        <d:sz val="11"/>
        <d:rFont val="Calibri"/>
      </d:rPr>
      <d:t xml:space="preserve">https://members.wto.org/crnattachments/2024/SPS/UGA/24_05258_00_e.pdf</d:t>
    </d:r>
  </si>
  <si>
    <t>DUS DARS 889:2024, Fresh papaya — Specification, First edition</t>
  </si>
  <si>
    <t>Fresh pawpaws "papayas" (HS code(s): 080720); Fruits and derived products (ICS code(s): 67.080.10); pawpaws; papayas</t>
  </si>
  <si>
    <d:r xmlns:d="http://schemas.openxmlformats.org/spreadsheetml/2006/main">
      <d:rPr>
        <d:sz val="11"/>
        <d:rFont val="Calibri"/>
      </d:rPr>
      <d:t xml:space="preserve">https://members.wto.org/crnattachments/2024/SPS/UGA/24_05257_00_e.pdf</d:t>
    </d:r>
  </si>
  <si>
    <t>Macao, China</t>
  </si>
  <si>
    <t>Law No. 12/2022 - Legal System for the Regulation of Dangerous Goods (31 pages, in Chinese and Portuguese)Administrative Regulation No. 27/2023 - Primary Detailed Rules for the Implementation of the Legal System for the Regulation of Dangerous Goods (49 pages, in Chinese and Portuguese)Chief Executive’s Decision No. 107/2023 – Subcategories and coding of Dangerous Goods (155 pages, in Chinese and Portuguese)Chief Executive’s Decision No 108/2023 – Exemption of advance notification of Dangerous Goods (49 pages, in Chinese and Portuguese)</t>
  </si>
  <si>
    <t>Law No. 12/2022 establishes a comprehensive system for the regulation, monitoring, and supervision of dangerous goods in Macao, China. Its primary objective is to prevent serious accidents that may arise from the possession, manufacturing, sale, transportation, storage, or any other utilization of dangerous goods, aiming to safeguard personal and property safety and prevent harm to human health and the environment.Administrative Regulation No. 27/2023, Chief Executive’s Decision No. 107/2023, and Chief Executive’s Decision No. 108/2023 act as the implementing detailed rules for Law No. 12/2022, with a primary focus on the operation of the dangerous goods database. It also establishes technical specifications for packaging, marking, labelling, and isolation measures concerning incompatible dangerous goods.</t>
  </si>
  <si>
    <t>For detailed information regarding the products involved and the corresponding technical regulations, please refer to: Categories 2,3,4,5,8,9 of Dangerous Goods in Annex of Chief Executive’s Decision No. 107/2023. https://images.io.gov.mo//bo/i/2023/30/despce-107-2023.pdf (page 1767-1920)List of Dangerous Goods of Table II of Annex I and Annex III of Chief Executive’s Decision No. 108/2023. https://images.io.gov.mo//bo/i/2023/30/despce-108-2023.pdf (page 1967-1968)</t>
  </si>
  <si>
    <t>DUS DARS 933:2024, African leafy vegetables — Specification, First edition</t>
  </si>
  <si>
    <t>This Draft Uganda Standard specifies the requirements of African leafy vegetables of varieties (cultivars) grown from the following species to be supplied fresh to the consumer, African leafy vegetables for industrial processing being excluded:Amaranth leaves (Amaranthus spp.);African nightshades (Solanum scabrum, S. americanum, S. villosum, Solanum retroflexum Dun.);African cabbage / Spider plant (Cleome gynandra L.);Leaves of cowpeas (Vigna unguiculata(L.) Walp.);Blackjack (Biddens pilosa, B. Biternata);Jute leaves (Jew’s Mallow) (Mallow leaves) Corchorus tridens;Lamb's quarter (Chenopodium album L.);Tackweed (Tribulus terrestris);Pumpkin leaves (Cucurbita maxima); andAfrican spinach (Basella alba L.)</t>
  </si>
  <si>
    <t>- Other: (HS code(s): 07099); Vegetables and derived products (ICS code(s): 67.080.20); African leafy vegetables </t>
  </si>
  <si>
    <t>07099 - - Other:</t>
  </si>
  <si>
    <d:r xmlns:d="http://schemas.openxmlformats.org/spreadsheetml/2006/main">
      <d:rPr>
        <d:sz val="11"/>
        <d:rFont val="Calibri"/>
      </d:rPr>
      <d:t xml:space="preserve">https://members.wto.org/crnattachments/2024/TBT/UGA/24_05219_00_e.pdf</d:t>
    </d:r>
  </si>
  <si>
    <t>DUS DARS 893:2024, Fresh apples — Specification, First edition</t>
  </si>
  <si>
    <t>This Draft Uganda Standard applies to apples of varieties (cultivars) grown from Malus domestica Borkh. to be supplied fresh to the consumer, apples for industrial processing being excluded.</t>
  </si>
  <si>
    <t>Fresh apples (HS code(s): 080810); Fruits and derived products (ICS code(s): 67.080.10)</t>
  </si>
  <si>
    <t>080810 - Fresh apples</t>
  </si>
  <si>
    <d:r xmlns:d="http://schemas.openxmlformats.org/spreadsheetml/2006/main">
      <d:rPr>
        <d:sz val="11"/>
        <d:rFont val="Calibri"/>
      </d:rPr>
      <d:t xml:space="preserve">https://members.wto.org/crnattachments/2024/TBT/UGA/24_05208_00_e.pdf</d:t>
    </d:r>
  </si>
  <si>
    <t>DUS DARS 986:2024, Fresh kiwi fruit — Specification, First edition</t>
  </si>
  <si>
    <t>This Draft Uganda Standard applies to kiwifruit (also known as actinidia) of varieties (cultivars) derived from Actinidia chinensis Planch and A. deliciosa (A. Chev.) C.F. Liang &amp; A.R. Ferguson and hybrids derived from at least one of them, from the Actinidiaceae family, to be supplied fresh to the consumer. Kiwifruit for industrial processing is excluded.</t>
  </si>
  <si>
    <t>Fresh kiwifruit (HS code(s): 081050); Fruits and derived products (ICS code(s): 67.080.10)</t>
  </si>
  <si>
    <t>081050 - Fresh kiwifruit</t>
  </si>
  <si>
    <d:r xmlns:d="http://schemas.openxmlformats.org/spreadsheetml/2006/main">
      <d:rPr>
        <d:sz val="11"/>
        <d:rFont val="Calibri"/>
      </d:rPr>
      <d:t xml:space="preserve">https://members.wto.org/crnattachments/2024/TBT/UGA/24_05197_00_s.pdf</d:t>
    </d:r>
  </si>
  <si>
    <t>Communiqué on Energy Labelling of Household Tumble Dryers </t>
  </si>
  <si>
    <t>Household tumble dryers must meet the labelling and additional product information requirements when they are placed on the market or put into service, while also ensuring the free movement of these products within the Türkiye-EU Customs Union. This Communiqué fosters harmonization mandatory  labelling and additional product information requirements for household tumble dryers.</t>
  </si>
  <si>
    <t>This Communiqué covers electric mains-operated and gas-fired household tumble dryers, built-in household tumble dryers, multi-drum household tumble dryers and electric-mains operated household tumble dryers that can also be powered by batteries.(3) This Communiqué shall not apply to:a) household washer-dryers and household spin-extractors,b) Tumble dryers within the scope of Machinery Safety Regulation (2006/42/AT) published in the Official Gazette dated 3/3/2009 and numbered 27158,c) battery-operated household tumble dryers that can be connected to the mains through an AC/DC converter purchased separately.</t>
  </si>
  <si>
    <t>Consumer information, labelling (TBT); Prevention of deceptive practices and consumer protection (TBT); Protection of the environment (TBT); Quality requirements (TBT); Harmonization (TBT)</t>
  </si>
  <si>
    <d:r xmlns:d="http://schemas.openxmlformats.org/spreadsheetml/2006/main">
      <d:rPr>
        <d:sz val="11"/>
        <d:rFont val="Calibri"/>
      </d:rPr>
      <d:t xml:space="preserve">https://members.wto.org/crnattachments/2024/TBT/TUR/24_05202_00_e.pdf</d:t>
    </d:r>
  </si>
  <si>
    <t>DUS DARS 928:2024, Fresh lettuces, curled-leaved endives and broad-leaved (batavian) endives — Specification, First edition</t>
  </si>
  <si>
    <t>This Draft Uganda Standard applies to lettuces of varieties (cultivars) grown from:Lactuca sativa L. var. capitata L. (head lettuces including crisphead and "Iceberg" type lettuces), Lactuca sativa L. var. longifolia Lam. (cos or romaine lettuces), Lactuca sativa L. var. crispa L. (leaf lettuces), crosses of these varieties, curled-leaved endives of varieties (cultivars) grown from Cichorium endivia L. var. crispa Lam and broad-leaved (Batavian) endives (escaroles) of varieties (cultivars) grown from Cichorium endivia L. var. latifolium Lam to be supplied fresh to the consumer. This standard does not apply to produce for industrial processing.</t>
  </si>
  <si>
    <d:r xmlns:d="http://schemas.openxmlformats.org/spreadsheetml/2006/main">
      <d:rPr>
        <d:sz val="11"/>
        <d:rFont val="Calibri"/>
      </d:rPr>
      <d:t xml:space="preserve">https://members.wto.org/crnattachments/2024/TBT/UGA/24_05264_00_e.pdf</d:t>
    </d:r>
  </si>
  <si>
    <t>Chief Executive’s Decision No. 80/2024</t>
  </si>
  <si>
    <t>Prohibition of import and transhipment of adhesives for construction and decoration exceeding the content limit value of volatile organic compound (VOC) to the Macao Special Administrative Region.</t>
  </si>
  <si>
    <t>ex.32141000, ex.32149000, ex.35061000, ex.35069110, ex.35069120, ex.35069190, ex.35069900</t>
  </si>
  <si>
    <t>321490 - Non-refractory surfacing preparations for facades, inside walls, floors, ceilings and the like; 321410 - Glaziers' putty, grafting putty, resin cements, caulking compounds and other mastics; painters' fillings; 350610 - Products suitable for use as glues or adhesives put up for retail sale as glues or adhesives, with a net weight of &lt;= 1 kg; 350691 - Adhesives based on polymers of headings 3901 to 3913 or on rubber (excl. put up for retail sale with a net weight of &lt;= 1 kg); 350699 - Glues, prepared, and other prepared adhesives, n.e.s.</t>
  </si>
  <si>
    <t>Law No. 6/2023- Regime of Prevention and Control of Underage Alcoholic Beverages Consumption (11 pages, in Chinese and Portuguese)</t>
  </si>
  <si>
    <t>Under paragraph 1, Article 9 of Law No. 6/2023, it is mandatory to clearly and prominently label the alcohol content, expressed as a percentage by volume, on the largest surface area of individually packaged alcoholic beverages sold or provided in Macao, China. Furthermore, as stated in sub-paragraph 2, Article 2 of the same law, the term 'alcoholic beverage' refers to a drink that has undergone fermentation, distillation, or contains additives, with an alcohol concentration higher than 1.2%. However, this definition excludes registered proprietary Chinese medicines with specific therapeutic functions that are registered legally in Macao, China or are prescription-only.</t>
  </si>
  <si>
    <t>Alcoholic beverages with an alcohol concentration higher than 1.2%</t>
  </si>
  <si>
    <t>Resolution establishing criteria for compliance with maximum residue levels (MRLs) for pesticides in plant products and by-products Items 3 and 9 of document G/SPS/N/PRY/37, dated 31 July 2024, should read as follows: 3. Products covered (provide tariff item number(s) as specified in national schedules deposited with the WTO; ICS numbers should be provided in addition, where applicable): Plant products and by-products (Chapters 7 to 10, and 12) 9. Other relevant documents and language(s) in which these are available: Not applicable The final date for comments is 60 days from the date of circulation of the notification.</t>
  </si>
  <si>
    <t>Plant products and by-products</t>
  </si>
  <si>
    <t>120740 - Sesamum seeds, whether or not broken; 120740 - Sesamum seeds, whether or not broken</t>
  </si>
  <si>
    <t>Food safety (SPS); Food safety (SPS)</t>
  </si>
  <si>
    <t>Human health; Food safety; Maximum residue limits (MRLs); Food safety; Human health; Maximum residue limits (MRLs)</t>
  </si>
  <si>
    <t>DUS DARS 942:2024, Fresh carrots — Specification, First edition</t>
  </si>
  <si>
    <t>This Draft Uganda standard applies to carrots of varieties (cultivars) grown from Daucus carota L. to be supplied fresh to the consumer, carrots for industrial processing being excluded. Carrots may be marketed with or without leaves</t>
  </si>
  <si>
    <t>Fresh or chilled carrots and turnips (HS code(s): 070610); Vegetables and derived products (ICS code(s): 67.080.20); Fresh carrots </t>
  </si>
  <si>
    <d:r xmlns:d="http://schemas.openxmlformats.org/spreadsheetml/2006/main">
      <d:rPr>
        <d:sz val="11"/>
        <d:rFont val="Calibri"/>
      </d:rPr>
      <d:t xml:space="preserve">https://members.wto.org/crnattachments/2024/SPS/UGA/24_05236_00_e.pdf</d:t>
    </d:r>
  </si>
  <si>
    <t>This Draft Uganda Standard applies to commercial varieties (cultivars) of mangoes grown from Mangifera indica L., of the Anacardiaceae family, to be supplied fresh to the consumer, after preparation and packaging. Mangoes for industrial processing are excluded.</t>
  </si>
  <si>
    <d:r xmlns:d="http://schemas.openxmlformats.org/spreadsheetml/2006/main">
      <d:rPr>
        <d:sz val="11"/>
        <d:rFont val="Calibri"/>
      </d:rPr>
      <d:t xml:space="preserve">https://members.wto.org/crnattachments/2024/SPS/UGA/24_05260_00_e.pdf</d:t>
    </d:r>
  </si>
  <si>
    <t>This Draft Uganda Standard applies to apples of varieties (cultivars) grown from Malus domestica Borkh to be supplied fresh to the consumer, apples for industrial processing being excluded.</t>
  </si>
  <si>
    <d:r xmlns:d="http://schemas.openxmlformats.org/spreadsheetml/2006/main">
      <d:rPr>
        <d:sz val="11"/>
        <d:rFont val="Calibri"/>
      </d:rPr>
      <d:t xml:space="preserve">https://members.wto.org/crnattachments/2024/SPS/UGA/24_05207_00_e.pdf</d:t>
    </d:r>
  </si>
  <si>
    <d:r xmlns:d="http://schemas.openxmlformats.org/spreadsheetml/2006/main">
      <d:rPr>
        <d:sz val="11"/>
        <d:rFont val="Calibri"/>
      </d:rPr>
      <d:t xml:space="preserve">https://members.wto.org/crnattachments/2024/SPS/UGA/24_05234_00_e.pdf</d:t>
    </d:r>
  </si>
  <si>
    <t>Amendment of the cybersecurity regulation applied to the telecommunications sector.</t>
  </si>
  <si>
    <t>ANATEL Resolution No. 767, 7 August 2024 amends the annex to Resolution No. 740, 21 December 2020 which approves the cybersecurity regulation applied to the telecommunications sector.</t>
  </si>
  <si>
    <t>Telecommunication equipment (cybersecurity).</t>
  </si>
  <si>
    <t>35.020 - Information technology (IT) in general; 35.020 - Information technology (IT) in general</t>
  </si>
  <si>
    <d:r xmlns:d="http://schemas.openxmlformats.org/spreadsheetml/2006/main">
      <d:rPr>
        <d:sz val="11"/>
        <d:rFont val="Calibri"/>
      </d:rPr>
      <d:t xml:space="preserve">https://www.in.gov.br/en/web/dou/-/resolucao-anatel-n-767-de-7-de-agosto-de-2024-577111812</d:t>
    </d:r>
  </si>
  <si>
    <d:r xmlns:d="http://schemas.openxmlformats.org/spreadsheetml/2006/main">
      <d:rPr>
        <d:sz val="11"/>
        <d:rFont val="Calibri"/>
      </d:rPr>
      <d:t xml:space="preserve">https://members.wto.org/crnattachments/2024/SPS/UGA/24_05256_00_e.pdf</d:t>
    </d:r>
  </si>
  <si>
    <t>DUS DARS 932:2024, Fresh romaine lettuce — Specification, First edition</t>
  </si>
  <si>
    <t>This Draft Uganda Standard applies to romaine lettuce of the variety Lactuca sativa longifolia to be supplied fresh to the consumer. This standard does not apply to produce for industrial processing, produce presented as individual leaves, lettuces with root ball or lettuces in pots.</t>
  </si>
  <si>
    <t>Fresh or chilled lettuce (excl. cabbage lettuce) (HS code(s): 070519); Vegetables and derived products (ICS code(s): 67.080.20); Fresh romaine lettuce </t>
  </si>
  <si>
    <d:r xmlns:d="http://schemas.openxmlformats.org/spreadsheetml/2006/main">
      <d:rPr>
        <d:sz val="11"/>
        <d:rFont val="Calibri"/>
      </d:rPr>
      <d:t xml:space="preserve">https://members.wto.org/crnattachments/2024/SPS/UGA/24_05224_00_e.pdf</d:t>
    </d:r>
  </si>
  <si>
    <t xml:space="preserve">The Environmental Regulatory Authority (SMA) announces the publication of the replies to the comments received on the proposed "Analysis and test protocol for the light pollution of luminaires and/or floodlights for outdoor lighting PCL No. 1:2024", notified on 18 April 2024 in document G/TBT/N/CHL/677. __________  1 This information can be provided by including a website address, a PDF attachment, or other information on where the text of the final measure/change to the measure/interpretative guidance can be obtained.</t>
  </si>
  <si>
    <d:r xmlns:d="http://schemas.openxmlformats.org/spreadsheetml/2006/main">
      <d:rPr>
        <d:sz val="11"/>
        <d:rFont val="Calibri"/>
      </d:rPr>
      <d:t xml:space="preserve">https://members.wto.org/crnattachments/2024/TBT/CHL/24_05227_00_s.pdf</d:t>
    </d:r>
  </si>
  <si>
    <t>Machinery Safety Regulation </t>
  </si>
  <si>
    <t>Machinery or related products must meet the essential health and safety requirements when they are  placed on the market or put into service, while also ensuring the free movement of these products within the Türkiye-EU customs union.Regulation fosters harmonization by combining mandatory essential health and safety requirements with voluntary harmonized standards for machinery and related products. It applies to products introduced to the market for the first time or when existing machinery undergoes modifications significant enough to be considered new machinery.</t>
  </si>
  <si>
    <t xml:space="preserve">(1) This Regulation applies to machinery and the following related products;_x000D_
a) interchangeable equipment;_x000D_
b) safety components;_x000D_
c) lifting accessories;_x000D_
ç) chains, ropes and webbing;_x000D_
d) removable mechanical transmission devices._x000D_
(2) This Regulation also applies to partly completed machinery._x000D_
(3) For the purposes of this Regulation, machinery, the related products listed in the first subparagraph and partly completed machinery shall together be referred to as ‘products within the scope of this Regulation’._x000D_
(4) This Regulation does not apply to:_x000D_
(a) safety components that are intended to be used as spare parts to replace identical components and are supplied by the manufacturer of the original machinery, related product or partly completed machinery;_x000D_
(b) specific equipment for use in fairgrounds or amusement parks;_x000D_
c) machinery and related products specially designed for use within or used in a nuclear installation and whose conformity with this Regulation may undermine the nuclear safety of that installation;_x000D_
ç) weapons, including firearms;_x000D_
d) means of transport by air, on water and on rail networks except for machinery mounted on those means of transport;_x000D_
e) aeronautical products, parts and equipment that fall within the scope of related EU Regulation and the definition of machinery under this Regulation, insofar as the mentioned EU Regulation covers the relevant essential health and safety requirements set out in this Regulation;_x000D_
f) motor vehicles and their trailers, as well as systems, components, separate technical units, parts and equipment designed and constructed for such vehicles, which fall within the scope of Regulation (EU) 2018/858 published on Oficial Gazette dated 19/4/2020 and numbered 31104, except for machinery mounted on those vehicles;_x000D_
g) two- or three-wheel vehicles and quadricycles, as well as systems, components, separate technical units, parts and equipment designed and constructed for such vehicles, that fall within the scope of Regulation (EU) No 168/2013 published on Oficial Gazette dated 22/8/2015 and numbered 29453, except for machinery mounted on those vehicles;_x000D_
ğ) agricultural and forestry tractors, as well as systems, components, separate technical units, parts and equipment designed and constructed for such tractors, that fall within the scope of Regulation (EU) No 167/2013 published on Oficial Gazette dated 14/8/2014 and numbered 29088, except for machinery mounted on those tractors;_x000D_
h) motor vehicles exclusively intended for competition;_x000D_
ı) seagoing vessels and mobile offshore units and machinery installed on board such vessels or units;_x000D_
i) machinery or related products specially designed and constructed for military or police purposes;_x000D_
j) machinery or related products specially designed and constructed for research purposes for temporary use in laboratories;_x000D_
k) mine winding gear;_x000D_
l) machinery or related products intended to move performers during artistic performances;_x000D_
m) the following electrical and electronic products, insofar as they fall within the scope of Directive 2014/35/EU published on Oficial Gazette dated 2/10/2016 and numbered 29845 or of Directive 2014/53/EU published on Oficial Gazette dated 5/11/2020 and numbered 31295:_x000D_
1) household appliances intended for domestic use which are not electrically operated furniture;_x000D_
2) audio and video equipment;_x000D_
3) information technology equipment;_x000D_
4) ordinary office machinery, except additive printing machinery for producing three-dimensional products;_x000D_
5) low-voltage switchgear and control gear;_x000D_
6) electric motors;_x000D_
n) the following high-voltage electrical products:_x000D_
1) switchgear and control gear;_x000D_
2) transformers.</t>
  </si>
  <si>
    <t>Prevention of deceptive practices and consumer protection (TBT); Protection of human health or safety (TBT); Protection of animal or plant life or health (TBT); Protection of the environment (TBT); Quality requirements (TBT); Harmonization (TBT); Reducing trade barriers and facilitating trade (TBT)</t>
  </si>
  <si>
    <d:r xmlns:d="http://schemas.openxmlformats.org/spreadsheetml/2006/main">
      <d:rPr>
        <d:sz val="11"/>
        <d:rFont val="Calibri"/>
      </d:rPr>
      <d:t xml:space="preserve">https://members.wto.org/crnattachments/2024/TBT/TUR/24_05195_00_e.pdf</d:t>
    </d:r>
  </si>
  <si>
    <t>DUS DARS 993:2024, Fresh dandelion greens — Specification,  First edition</t>
  </si>
  <si>
    <t>This Draft Uganda Standard applies to dandelion greens consisting of either plants or cut leaves of varieties (cultivars) grown from Taraxacum officinale F.H. Wigg. to be supplied fresh to the consumer, dandelion greens for industrial processing being excluded. The standard shall not be applicable to mixtures of plants and cut leaves in the same container.</t>
  </si>
  <si>
    <t>Other vegetables, fresh or chilled (excl. potatoes, tomatoes, alliaceous vegetables, edible brassicas, lettuce "Lactuca sativa" and chicory "Cichorium spp.", carrots, turnips, salad beetroot, salsify, celeriac, radishes and similar edible roots, cucumbers and gherkins, and leguminous vegetables) (HS code(s): 0709); Vegetables and derived products (ICS code(s): 67.080.20); Fresh dandelion greens</t>
  </si>
  <si>
    <t>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t>
  </si>
  <si>
    <d:r xmlns:d="http://schemas.openxmlformats.org/spreadsheetml/2006/main">
      <d:rPr>
        <d:sz val="11"/>
        <d:rFont val="Calibri"/>
      </d:rPr>
      <d:t xml:space="preserve">https://members.wto.org/crnattachments/2024/SPS/UGA/24_05211_00_e.pdf</d:t>
    </d:r>
  </si>
  <si>
    <t>Fresh watermelons (HS code(s): 080711); Fruits and derived products (ICS code(s): 67.080.10); Fresh watermelons</t>
  </si>
  <si>
    <d:r xmlns:d="http://schemas.openxmlformats.org/spreadsheetml/2006/main">
      <d:rPr>
        <d:sz val="11"/>
        <d:rFont val="Calibri"/>
      </d:rPr>
      <d:t xml:space="preserve">https://members.wto.org/crnattachments/2024/SPS/UGA/24_05240_00_e.pdf</d:t>
    </d:r>
  </si>
  <si>
    <t>Proposal for Legal Inspection Requirements for Power Conversion System </t>
  </si>
  <si>
    <t>To achieve net-zero carbon emissions by 2050, it is expected that renewable energy power generation equipment and energy storage systems will gradually be installed not only at outdoor sites but also in indoor households and factories. Considering that the Power Conversion System (PCS) is a critical component of energy storage systems, the BSMI proposes to include PCS in the mandatory inspection scope to ensure consumer safety. Two alternative conformity assessment procedures are made available for the choice of applicants, i.e. Registration of Product Certification (RPC) or Type-Approved Batch Inspection (TABI).</t>
  </si>
  <si>
    <t>Static converters (HS code(s): 850440)</t>
  </si>
  <si>
    <t>850440 - Static converters</t>
  </si>
  <si>
    <d:r xmlns:d="http://schemas.openxmlformats.org/spreadsheetml/2006/main">
      <d:rPr>
        <d:sz val="11"/>
        <d:rFont val="Calibri"/>
      </d:rPr>
      <d:t xml:space="preserve">https://members.wto.org/crnattachments/2024/TBT/TPKM/24_05268_00_e.pdf
https://members.wto.org/crnattachments/2024/TBT/TPKM/24_05268_00_x.pdf</d:t>
    </d:r>
  </si>
  <si>
    <t>DUS DARS 993:2024 ,Fresh dandelion greens — Specification, First edition</t>
  </si>
  <si>
    <t>This Draft Uganda Standard applies to dandelion greens consisting of either plants or cut leaves of varieties (cultivars) grown from Taraxacumofficinale F.H. Wigg to be supplied fresh to the consumer, dandelion greens for industrial processing being excluded. The standard shall not be applicable to mixtures of plants and cut leaves in the same container.</t>
  </si>
  <si>
    <t>- Other: (HS code(s): 07099); Vegetables and derived products (ICS code(s): 67.080.20); Fresh dandelion greens </t>
  </si>
  <si>
    <d:r xmlns:d="http://schemas.openxmlformats.org/spreadsheetml/2006/main">
      <d:rPr>
        <d:sz val="11"/>
        <d:rFont val="Calibri"/>
      </d:rPr>
      <d:t xml:space="preserve">https://members.wto.org/crnattachments/2024/TBT/UGA/24_05215_00_e.pdf</d:t>
    </d:r>
  </si>
  <si>
    <t>SDA/MAPA Ordinance No. 1,160, of 2 August 2024.  Establishes the phytosanitary requirements for the import of melon fruits (Cucumis melo) from the Republic of Chile.</t>
  </si>
  <si>
    <t>The phytosanitary requirements for the importion of fresh fruit (Category 3) of melon (Cucumis melo) produced in the Republic of Chile have been established. </t>
  </si>
  <si>
    <t>melon fruits (Cucumis melo</t>
  </si>
  <si>
    <d:r xmlns:d="http://schemas.openxmlformats.org/spreadsheetml/2006/main">
      <d:rPr>
        <d:sz val="11"/>
        <d:rFont val="Calibri"/>
      </d:rPr>
      <d:t xml:space="preserve">https://members.wto.org/crnattachments/2024/SPS/BRA/24_05223_00_x.pdf
https://www.in.gov.br/en/web/dou/-/portaria-sda/mapa-n-1.160-de-2-de-agosto-de-2024-576298424</d:t>
    </d:r>
  </si>
  <si>
    <t>DUS DARS 933:2024, African leafy vegetables — Specification, First edition</t>
  </si>
  <si>
    <t xml:space="preserve">This Draft Uganda Standard the requirements of African leafy vegetables of varieties (cultivars) grown from the following species to be supplied fresh to the consumer, African leafy vegetables for industrial processing being excluded:_x000D_
a) Amaranth leaves (Amaranthus spp_x000D_
b) African nightshades (Solanum scabrumS. americanumS. villosumSolanum retroflexum Dun_x000D_
c) African cabbage / Spider plant (Cleome gynandra L_x000D_
d) Leaves of cowpeas (Vigna unguiculata(L.) Walp_x000D_
e) Blackjack (Biddens pilosaB. Biternata_x000D_
f) Jute leaves (Jew’s Mallow) (Mallow leaves) Corchorus tridens_x000D_
g) Lamb's quarter (Chenopodium album L_x000D_
h) Tackweed (Tribulus terrestris_x000D_
i) Pumpkin leaves (Cucurbita maxima); and_x000D_
j) African spinach (Basella alba L</t>
  </si>
  <si>
    <t>Other: (HS code(s): 07099); Vegetables and derived products (ICS code(s): 67.080.20); African leafy vegetables</t>
  </si>
  <si>
    <d:r xmlns:d="http://schemas.openxmlformats.org/spreadsheetml/2006/main">
      <d:rPr>
        <d:sz val="11"/>
        <d:rFont val="Calibri"/>
      </d:rPr>
      <d:t xml:space="preserve">https://members.wto.org/crnattachments/2024/SPS/UGA/24_05216_00_e.pdf</d:t>
    </d:r>
  </si>
  <si>
    <t>Amendment to Administrative Order (AO) 2013-0031 entitled "Requirements for the Operation of Therapeutic X-ray Facility Utilizing Medical Linear Accelerators"</t>
  </si>
  <si>
    <t>Upon review of the implementation of the A.O. No. 2013-0031, many therapeutic x-ray facilities were not able to comply with the manpower requirements. Additionally, several dedicated radiation generators used in radiotherapy were also made available over the past years. Hence, in order to ensure compliance with the manpower requirement and to keep abreast with the emerging technologies, current provisions of A.O. 2013-0031 shall be made.</t>
  </si>
  <si>
    <t>- Apparatus based on the use of X-rays, whether or not for medical, surgical, dental or veterinary uses, including radiography or radiotherapy apparatus: (HS code(s): 90221); Radiation protection (ICS code(s): 13.280)</t>
  </si>
  <si>
    <t>90221 - - Apparatus based on the use of X-rays, whether or not for medical, surgical, dental or veterinary uses, including radiography or radiotherapy apparatus:</t>
  </si>
  <si>
    <t>13.280 - Radiation protection</t>
  </si>
  <si>
    <d:r xmlns:d="http://schemas.openxmlformats.org/spreadsheetml/2006/main">
      <d:rPr>
        <d:sz val="11"/>
        <d:rFont val="Calibri"/>
      </d:rPr>
      <d:t xml:space="preserve">https://members.wto.org/crnattachments/2024/TBT/PHL/24_05203_00_e.pdf</d:t>
    </d:r>
  </si>
  <si>
    <t>Fresh or chilled lettuce (excl. cabbage lettuce) (HS code(s): 070519); Vegetables and derived products (ICS code(s): 67.080.20); Fresh romaine lettuce</t>
  </si>
  <si>
    <d:r xmlns:d="http://schemas.openxmlformats.org/spreadsheetml/2006/main">
      <d:rPr>
        <d:sz val="11"/>
        <d:rFont val="Calibri"/>
      </d:rPr>
      <d:t xml:space="preserve">https://members.wto.org/crnattachments/2024/TBT/UGA/24_05226_00_e.pdf</d:t>
    </d:r>
  </si>
  <si>
    <t>Chief Executive’s Decision No. 146/2023 </t>
  </si>
  <si>
    <t>Prohibition of import of non-degradable disposable plastic plates, cups, and disposable styrofoam trays for food products to the Macao Special Administrative Region.</t>
  </si>
  <si>
    <t>ex.3924.10.19, ex.3923.90.19, ex.3924.10.19, ex.3923.90.11, ex.3923.90.19, ex.3923.90.90, ex.3924.10.40</t>
  </si>
  <si>
    <t>392390 - Articles for the conveyance or packaging of goods, of plastics (excl. boxes, cases, crates and similar articles; sacks and bags, incl. cones; carboys, bottles, flasks and similar articles; spools, spindles, bobbins and similar supports; stoppers, lids, caps and other closures); 392410 - Tableware and kitchenware, of plastics</t>
  </si>
  <si>
    <t>DUS DARS 923:2024, Fresh Chinese cabbages — Specification, First edition</t>
  </si>
  <si>
    <t>This Draft Uganda Standard defines the quality requirements of chinese cabbages of varieties (cultivars) grown from Brassica rapa subsp. pekinensis (Lour). Hanelt of the long and the round types after preparation and packaging to be supplied fresh to the consumer, for industrial processing being excluded.</t>
  </si>
  <si>
    <d:r xmlns:d="http://schemas.openxmlformats.org/spreadsheetml/2006/main">
      <d:rPr>
        <d:sz val="11"/>
        <d:rFont val="Calibri"/>
      </d:rPr>
      <d:t xml:space="preserve">https://members.wto.org/crnattachments/2024/SPS/UGA/24_05253_00_e.pdf</d:t>
    </d:r>
  </si>
  <si>
    <t>This Draft Uganda Standard specifies the requirements of Banana varieties (cultivars) grown from Musa spp. (AAA), of the Musaceae family, entering the domestic and international trade in the fresh and natural state. Bananas for industrial processing are excluded.</t>
  </si>
  <si>
    <t>Bananas, incl. plantains, fresh or dried (HS code(s): 0803); Fruits and derived products (ICS code(s): 67.080.10); Fresh bananas</t>
  </si>
  <si>
    <d:r xmlns:d="http://schemas.openxmlformats.org/spreadsheetml/2006/main">
      <d:rPr>
        <d:sz val="11"/>
        <d:rFont val="Calibri"/>
      </d:rPr>
      <d:t xml:space="preserve">https://members.wto.org/crnattachments/2024/SPS/UGA/24_05262_00_e.pdf</d:t>
    </d:r>
  </si>
  <si>
    <t>DUS DARS 972:2024, Fresh artichokes — Specification, First edition</t>
  </si>
  <si>
    <t>This Draft Uganda Standard applies to artichoke heads of varieties (cultivars) grown from Cynara cardunculus L. Scolymus Group to be supplied fresh to the consumer, artichokes for industrial processing being excluded. The names ‘Poivrade’ and ‘Bouquet’ refer to young, cone-shaped artichokes of the violet type.</t>
  </si>
  <si>
    <t>Fresh or chilled globe artichokes (HS code(s): 070991); Fruits and derived products (ICS code(s): 67.080.10)</t>
  </si>
  <si>
    <t>070991 - Fresh or chilled globe artichokes</t>
  </si>
  <si>
    <d:r xmlns:d="http://schemas.openxmlformats.org/spreadsheetml/2006/main">
      <d:rPr>
        <d:sz val="11"/>
        <d:rFont val="Calibri"/>
      </d:rPr>
      <d:t xml:space="preserve">https://members.wto.org/crnattachments/2024/TBT/UGA/24_05199_00_e.pdf</d:t>
    </d:r>
  </si>
  <si>
    <t>DEAS 1156:2023, Steel filing cabinets for general office purposes — Specification, First edition</t>
  </si>
  <si>
    <t>Burundi, Kenya, Rwanda, Tanzania and Uganda would like to inform WTO Members that the Draft East African Standard; DEAS 1156:2023, Steel filing cabinets for general office purposes — Specification, First edition notified in G/TBT/N/BDI/381, G/TBT/N/KEN/1461, G/TBT/N/RWA/893, G/TBT/N/TZA/995, G/TBT/N/UGA/1798  was adopted by the East African Community Council of Ministers on 14 June 2024 as EAS 1156:2023, Steel filing cabinets for general office purposes — Specification, First edition</t>
  </si>
  <si>
    <t>Filing cabinets, card-index cabinets, paper trays, paper rests, pen trays, office-stamp stands and similar office or desk equipment, of base metal, other than office furniture of heading 94.03. (HS code(s): 8304); Interior finishing (ICS code(s): 91.180)</t>
  </si>
  <si>
    <t>8304 - Filing cabinets, card-index cabinets, paper trays, paper rests, pen trays, office-stamp stands and similar office or desk equipment, of base metal, other than office furniture of heading 94.03.; 8304 - Filing cabinets, card-index cabinets, paper trays, paper rests, pen trays, office-stamp stands and similar office or desk equipment, of base metal, other than office furniture of heading 94.03.</t>
  </si>
  <si>
    <t>91.180 - Interior finishing; 91.180 - Interior finishing</t>
  </si>
  <si>
    <t>Consumer information, labelling (TBT); Consumer information, labelling (TBT); Quality requirements (TBT); Quality requirements (TBT); Reducing trade barriers and facilitating trade (TBT); Reducing trade barriers and facilitating trade (TBT)</t>
  </si>
  <si>
    <t>DEAS 1143: 2023, Household fabric softeners — Specification, First Edition</t>
  </si>
  <si>
    <t>Burundi, Kenya, Rwanda, Tanzania and Uganda would like to inform WTO Members that the Draft East African Standard  DEAS 1143: 2023, Household fabric softeners — Specification, First Edition inG/TBT/N/BDI/353, G/TBT/N/KEN/1425, G/TBT/N/RWA/861, G/TBT/N/TZA/967, G/TBT/N/UGA/1769  was adopted by the East African Community Council of Ministers on 14 June 2024 as EAS 1143: 2023, Household fabric softeners — Specification, First Edition.</t>
  </si>
  <si>
    <t>SOAP, ORGANIC SURFACE-ACTIVE AGENTS, WASHING PREPARATIONS, LUBRICATING PREPARATIONS, ARTIFICIAL WAXES, PREPARED WAXES, POLISHING OR SCOURING PREPARATIONS, CANDLES AND SIMILAR ARTICLES, MODELLING PASTES, ‘DENTAL WAXES’ AND DENTAL PREPARATIONS WITH A BASIS OF PLASTER (HS code(s): 34); Surface active agents (ICS code(s): 71.100.40)</t>
  </si>
  <si>
    <t>34 - SOAP, ORGANIC SURFACE-ACTIVE AGENTS, WASHING PREPARATIONS, LUBRICATING PREPARATIONS, ARTIFICIAL WAXES, PREPARED WAXES, POLISHING OR SCOURING PREPARATIONS, CANDLES AND SIMILAR ARTICLES, MODELLING PASTES, ‘DENTAL WAXES’ AND DENTAL PREPARATIONS WITH A BASIS OF PLASTER; 34 - SOAP, ORGANIC SURFACE-ACTIVE AGENTS, WASHING PREPARATIONS, LUBRICATING PREPARATIONS, ARTIFICIAL WAXES, PREPARED WAXES, POLISHING OR SCOURING PREPARATIONS, CANDLES AND SIMILAR ARTICLES, MODELLING PASTES, ‘DENTAL WAXES’ AND DENTAL PREPARATIONS WITH A BASIS OF PLASTER</t>
  </si>
  <si>
    <t>71.100.40 - Surface active agents; 71.100.40 - Surface active agents</t>
  </si>
  <si>
    <t>DEAS 1109:2022,Fruit and vegetable ketchup — Specification, First Edition</t>
  </si>
  <si>
    <t>Burundi, Kenya, Rwanda, Tanzania and Uganda would like to inform WTO Members that the Draft East African Standard; DEAS 1109:2022,Fruit and vegetable ketchup — Specification, First Edition, notified in G/TBT/N/BDI/292, G/TBT/N/KEN/1327, G/TBT/N/RWA/729, G/TBT/N/TZA/850, G/TBT/N/UGA/1701 was adopted by the East African Community Council of Ministers on 14 June 2024 as EAS 1109:2022,Fruit and vegetable ketchup — Specification, First Edition</t>
  </si>
  <si>
    <t>- Tomato ketchup and other tomato sauces (HS code(s): 210320); Fruits. Vegetables (ICS code(s): 67.080)</t>
  </si>
  <si>
    <t>210320 - Tomato ketchup and other tomato sauces; 210320 - Tomato ketchup and other tomato sauces</t>
  </si>
  <si>
    <t>67.080 - Fruits. Vegetables; 67.080 - Fruits. Vegetables</t>
  </si>
  <si>
    <t>DUS DARS 943, Fresh Cornelian cherry — Specification, First edition</t>
  </si>
  <si>
    <t>This Draft Uganda specifies requirements and test methods for the fresh cornelian fruit of the tree, Cornus mas L. It does not apply to processed cornelian cherries.</t>
  </si>
  <si>
    <t>Edible fruit or nut trees, shrubs and bushes, whether or not grafted (HS code(s): 060220); Fruits and derived products (ICS code(s): 67.080.10)Cornelian cherry </t>
  </si>
  <si>
    <d:r xmlns:d="http://schemas.openxmlformats.org/spreadsheetml/2006/main">
      <d:rPr>
        <d:sz val="11"/>
        <d:rFont val="Calibri"/>
      </d:rPr>
      <d:t xml:space="preserve">https://members.wto.org/crnattachments/2024/TBT/UGA/24_05185_00_e.pdf</d:t>
    </d:r>
  </si>
  <si>
    <t>Decreto Exento No. 47/2024 del Ministerio de Salud (MINSAL), el cual modifica norma técnica No. 209 que fija límites máximos de residuos de plaguicidas en alimentos, aprobada por la Resolución Exenta No. 892 de 2020, del Ministerio de Salud (Ministry of Health (MINSAL) Exempt Decree No. 47/2024 amending Technical Standard No. 209 establishing maximum residue limits for pesticides in food, approved by MINSAL Exempt Resolution No. 892 of 2020) Chile hereby advises that MINSAL Exempt Decree No. 47 amending Technical Standard No. 209 establishing maximum residue limits for pesticides in food, approved by MINSAL Exempt Resolution No. 892 of 2020, was published in the Official Journal on 3 August 2024 and will enter into force nine months later, i.e. on 3 May 2025.</t>
  </si>
  <si>
    <t>Food</t>
  </si>
  <si>
    <t>Human health; Food safety; Maximum residue limits (MRLs); Human health; Food safety; Pesticides; Maximum residue limits (MRLs)</t>
  </si>
  <si>
    <d:r xmlns:d="http://schemas.openxmlformats.org/spreadsheetml/2006/main">
      <d:rPr>
        <d:sz val="11"/>
        <d:rFont val="Calibri"/>
      </d:rPr>
      <d:t xml:space="preserve">https://members.wto.org/crnattachments/2024/SPS/CHL/24_05200_00_e.pdf</d:t>
    </d:r>
  </si>
  <si>
    <t>DEAS 1144: 2023, Baby toilet soap — Specification, First Edition</t>
  </si>
  <si>
    <t>Burundi, Kenya, Rwanda, Tanzania and Uganda would like to inform WTO Members that the Draft East African Standard; DEAS 1144: 2023, Baby toilet soap — Specification, First Edition, notified in G/TBT/N/BDI/354, G/TBT/N/KEN/1426, G/TBT/N/RWA/862, G/TBT/N/TZA/968, G/TBT/N/UGA/1770 was adopted by the East African Community Council of Ministers on 14 June 2024 as EAS 1144: 2023, Baby toilet soap — Specification, First Edition</t>
  </si>
  <si>
    <t>DEAS 1154:2023, Mild steel wire for engineering purposes — Specification, First edition</t>
  </si>
  <si>
    <t>Burundi, Kenya, Rwanda, Tanzania and Uganda would like to inform WTO Members that the Draft East African Standard; DEAS 1154:2023, Mild steel wire for engineering purposes — Specification, First edition notified in G/TBT/N/BDI/379, G/TBT/N/KEN/1459, G/TBT/N/RWA/891, G/TBT/N/TZA/993, G/TBT/N/UGA/1796 was adopted by the East African Community Council of Ministers on 14 June 2024 as EAS 1154:2023, Mild steel wire for engineering purposes — Specification, First edition</t>
  </si>
  <si>
    <t>Wire of iron or non-alloy steel, in coils, plated or coated (excl. plated or coated with base metals, and bars and rods) (HS code(s): 721790); Steel wire, wire ropes and link chains (ICS code(s): 77.140.65)</t>
  </si>
  <si>
    <t>721790 - Wire of iron or non-alloy steel, in coils, plated or coated (excl. plated or coated with base metals, and bars and rods); 721790 - Wire of iron or non-alloy steel, in coils, plated or coated (excl. plated or coated with base metals, and bars and rods)</t>
  </si>
  <si>
    <t>77.140.65 - Steel wire, wire ropes and link chains; 77.140.65 - Steel wire, wire ropes and link chains</t>
  </si>
  <si>
    <t>Consumer information, labelling (TBT); Consumer information, labelling (TBT); Harmonization (TBT); Harmonization (TBT); Reducing trade barriers and facilitating trade (TBT); Reducing trade barriers and facilitating trade (TBT)</t>
  </si>
  <si>
    <t>DEAS 1110:2022, Fruits and vegetable chutney — Specification, First Edition</t>
  </si>
  <si>
    <t>Burundi, Kenya, Rwanda, Tanzania and Uganda would like to inform WTO Members that the Draft East African Standard; DEAS 1110:2022, Fruits and vegetable chutney — Specification, First Edition, notified in G/TBT/N/BDI/293, G/TBT/N/KEN/1328, G/TBT/N/RWA/730, G/TBT/N/TZA/851, G/TBT/N/UGA/1702 was adopted by the East African Community Council of Ministers on 14 June 2024 as EAS 1110:2022, Fruits and vegetable chutney — Specification, First Edition.</t>
  </si>
  <si>
    <t>- Other (HS code(s): 200190); Fruits. Vegetables (ICS code(s): 67.080)</t>
  </si>
  <si>
    <t>200190 - Vegetables, fruit, nuts and other edible parts of plants, prepared or preserved by vinegar or acetic acid (excl. cucumbers and gherkins); 200190 - Vegetables, fruit, nuts and other edible parts of plants, prepared or preserved by vinegar or acetic acid (excl. cucumbers and gherkins)</t>
  </si>
  <si>
    <t>RIG.RAÇÃO.MAR.24. General Animal Health Requirements (RIG) for Entry into the Federative Republic of Brazil of Feed, Feed Ingredients or Flour of Animal Origin</t>
  </si>
  <si>
    <t>The General Animal Health Requirements (RIG) for Entry into the Federative Republic of Brazil of Feed, Feed Ingredients or Flour of Animal Origin - "RIG.RAÇÃO.MAR.24" are established.Only certificates already agreed bilaterally with the exporting countries will remain valid for up to 60 days after notification at WTO.</t>
  </si>
  <si>
    <t>Feed, feed ingredients or flour of animal origin</t>
  </si>
  <si>
    <t>Animal health (SPS); Protect humans from animal/plant pest or disease (SPS)</t>
  </si>
  <si>
    <t>Human health; Animal health; Animal diseases</t>
  </si>
  <si>
    <d:r xmlns:d="http://schemas.openxmlformats.org/spreadsheetml/2006/main">
      <d:rPr>
        <d:sz val="11"/>
        <d:rFont val="Calibri"/>
      </d:rPr>
      <d:t xml:space="preserve">https://members.wto.org/crnattachments/2024/SPS/BRA/24_05178_00_x.pdf</d:t>
    </d:r>
  </si>
  <si>
    <t xml:space="preserve">National Organic Program: 2025 Sunset Review and Substance 
Renewals</t>
  </si>
  <si>
    <t>2025 sunset review and substance renewals - This document announces the renewal of 47 substances listed on the National List of Allowed and Prohibited Substances within the U.S. Department of Agriculture's (USDA) organic regulations. This document reflects the outcome of the 2025 sunset review processes and addresses recommendations submitted to the Secretary of Agriculture, through the USDA's Agricultural Marketing Service (AMS), by the National Organic Standards Board (NOSB)</t>
  </si>
  <si>
    <t>Substances used in the production of organic crops, livestock, and products; Quality (ICS code(s): 03.120); Plant growing (ICS code(s): 65.020.20); Animal husbandry and breeding (ICS code(s): 65.020.30); Processes in the food industry (ICS code(s): 67.020); Organic chemicals in general (ICS code(s): 71.080.01); Other products of the chemical industry (ICS code(s): 71.100.99)</t>
  </si>
  <si>
    <t>03.120 - Quality; 65.020.20 - Plant growing; 65.020.30 - Animal husbandry and breeding; 67.020 - Processes in the food industry; 71.080.01 - Organic chemicals in general; 71.100.99 - Other products of the chemical industry</t>
  </si>
  <si>
    <d:r xmlns:d="http://schemas.openxmlformats.org/spreadsheetml/2006/main">
      <d:rPr>
        <d:sz val="11"/>
        <d:rFont val="Calibri"/>
      </d:rPr>
      <d:t xml:space="preserve">https://members.wto.org/crnattachments/2024/TBT/USA/24_05181_00_e.pdf</d:t>
    </d:r>
  </si>
  <si>
    <t>DUS DARS 906:2024, Fresh Annonas - Specification, First edition</t>
  </si>
  <si>
    <t xml:space="preserve">This Draft Uganda Standard applies to the following fruits, classified as "Annonas", to be supplied fresh to the consumer, annonasfor industrial processing being excluded._x000D_
a) Cherimoya of varieties (cultivars) grown from the species Annona cherimola Mill._x000D_
b) Sugar apple of varieties (cultivars) grown from the species Annona squamosa L._x000D_
c) Atemoya hybrid from the species Annona cherimola Mill. and Annona squamosa L._x000D_
d) Soursop of varieties (cultivars) grown from the species Annona muricata L.</t>
  </si>
  <si>
    <t>Edible fruit or nut trees, shrubs and bushes, whether or not grafted (HS code(s): 060220); Fruits and derived products (ICS code(s): 67.080.10); Fresh annonas</t>
  </si>
  <si>
    <d:r xmlns:d="http://schemas.openxmlformats.org/spreadsheetml/2006/main">
      <d:rPr>
        <d:sz val="11"/>
        <d:rFont val="Calibri"/>
      </d:rPr>
      <d:t xml:space="preserve">https://members.wto.org/crnattachments/2024/SPS/UGA/24_05186_00_e.pdf
https://members.wto.org/crnattachments/2024/SPS/UGA/24_05186_01_e.pdf</d:t>
    </d:r>
  </si>
  <si>
    <t>DEAS 1108:2022, Fruits chips and crisps — Specification, First Edition</t>
  </si>
  <si>
    <t>Burundi, Kenya, Rwanda, Tanzania and Uganda would like to inform WTO Members that the Draft East African Standard; DEAS 1108:2022, Fruits chips and crisps — Specification, First Edition, notified in G/TBT/N/BDI/291, G/TBT/N/KEN/1326, G/TBT/N/RWA/728, G/TBT/N/TZA/849, G/TBT/N/UGA/1700 was adopted by the East African Community Council of Ministers on 14 June 2024 as EAS 1108:2022, Fruits chips and crisps — Specification, First Edition</t>
  </si>
  <si>
    <t>- Potatoes (HS code(s): 200520); Fruits. Vegetables (ICS code(s): 67.080)</t>
  </si>
  <si>
    <t>200520 - Potatoes, prepared or preserved otherwise than by vinegar or acetic acid (excl. frozen); 200520 - Potatoes, prepared or preserved otherwise than by vinegar or acetic acid (excl. frozen)</t>
  </si>
  <si>
    <t>Draft Regulations Governing Labelling for Recycling Categories and Other Matters of Compliance for Mobile Phone Manufacturers and Importers</t>
  </si>
  <si>
    <t>Because of Mobile phones' small size, high price, and the large amount of personal information stored within, consumers often keep them at home after replacing them or fail to recycle them due to concerns about personal data leakage.  Considering that mobile phones contain over seventy types of elements, including precious and rare metals, establishing proper recycling channels for them will facilitate the recycling and reuse of scarce resources.The Resource Recycling Act aims to promote the sustainable use of resources by effectively directing discarded resources into reuse and recycling channels, thus achieving the goal of transition towards a circular economy.  When consumers replace mobile phones, they will have circulation services available to them provided by mobile phone enterprises, which should increase reuse of the devices. When mobile phones are no longer usable, their constituents can be recycled and used as raw materials for manufacturing. Under the authorization of Article 11, Paragraph 1, Subparagraphs 3 and 4, and Paragraph 2 of the Resource Recycling Act, the Draft Regulations Governing Labelling for Recycling Categories and Other Matters of Compliance for Mobile Phone Manufacturers and Importers (referred to hereinafter as the Regulations) have been formulated. They require mobile phone manufacturers and importers to label mobile phones indicating recycling categories and methods as well as to cooperate with efforts to recycle waste mobile phones, thus facilitating recycling and reuse of renewable resources. Key points of the Regulations are as follows:Definitions (Item I of the draft regulations)Scope of applicable enterprises (Item II of the draft regulations)Matters of compliance for mobile phone manufacturers and importers (Item III of the draft regulations)Regulations on mandatory labeling with recycling category symbols for mobile phone manufacturers and importers (Item IV of the draft regulations)Regulations on waste mobile phone recycling methods for mobile phone manufacturers and importers (Item V of the draft regulations)Recycling and circulation targets for mobile phone manufacturers and importers, required information, schedule, and recipients of the submitted proposals of these targets, and improvement measures if targets are not met. Mobile phone manufacturers and importers may form an organization to assist in recycling tasks and submission of relevant information. (Item VI of the draft regulations)Regulations on Reporting Execution Outcomes, Improvement Measures, and Corrected Information by Mobile Phone Manufacturers, Importers, or Joint Recycling Organizations (Item VII of the draft regulations) Requirements concerning mobile phone retailers on compliance with recycling methods used by manufacturers and importers (Item VIII of the draft regulations) Penalties for violations of the regulations (Item IX of the draft regulations)</t>
  </si>
  <si>
    <t>Mobile Phone</t>
  </si>
  <si>
    <d:r xmlns:d="http://schemas.openxmlformats.org/spreadsheetml/2006/main">
      <d:rPr>
        <d:sz val="11"/>
        <d:rFont val="Calibri"/>
      </d:rPr>
      <d:t xml:space="preserve">https://members.wto.org/crnattachments/2024/TBT/TPKM/24_05182_00_e.pdf
https://members.wto.org/crnattachments/2024/TBT/TPKM/24_05182_00_x.pdf</d:t>
    </d:r>
  </si>
  <si>
    <t>The Food and Drug Administration (FDA or we) is announcing that we have filed a petition, submitted by Phytolon Ltd., proposing that the colour additive regulations be amended to provide for the safe use of prickly pear yellow for the colouring of foods generally in amounts consistent with current good manufacturing practice.The colour additive petition was filed on 3 July 2024.</t>
  </si>
  <si>
    <t>67 - FOOD TECHNOLOGY</t>
  </si>
  <si>
    <d:r xmlns:d="http://schemas.openxmlformats.org/spreadsheetml/2006/main">
      <d:rPr>
        <d:sz val="11"/>
        <d:rFont val="Calibri"/>
      </d:rPr>
      <d:t xml:space="preserve">https://www.federalregister.gov/d/2024-15892</d:t>
    </d:r>
  </si>
  <si>
    <t>Resolución exenta No. 5.014, de 2024 que Fija exigencias sanitarias para la internación de semen de zánganos a Chile y deroga la Resolución que indica (Exempt Resolution No. 5.014 of 2024 establishing sanitary requirements for the entry into Chile of drone bee semen and repealing the Resolution indicated) Chile hereby advises that Exempt Resolution No. 5.014/2024 establishing sanitary requirements for the entry into Chile of drone bee semen and repealing the Resolution indicated entered into force on 7 August 2024. https://members.wto.org/crnattachments/2024/SPS/CHL/24_05179_00_s.pdf</t>
  </si>
  <si>
    <t>Semen de zánganos de la especie Apis mellifera</t>
  </si>
  <si>
    <t>Adoption/publication/entry into force of reg.; Animal health; Animal diseases; Animal health; Animal diseases</t>
  </si>
  <si>
    <d:r xmlns:d="http://schemas.openxmlformats.org/spreadsheetml/2006/main">
      <d:rPr>
        <d:sz val="11"/>
        <d:rFont val="Calibri"/>
      </d:rPr>
      <d:t xml:space="preserve">https://members.wto.org/crnattachments/2024/SPS/CHL/24_05179_00_s.pdf</d:t>
    </d:r>
  </si>
  <si>
    <t>DUS DARS 906:2024, Fresh annonas — Specification, First edition</t>
  </si>
  <si>
    <t xml:space="preserve">This Draft Uganda Standard applies to the following fruits, classified as "Annonas", to be supplied fresh to the consumer, annonas for industrial processing being excluded._x000D_
a) Cherimoya of varieties (cultivars) grown from the species Annona cherimola Mill._x000D_
b) Sugar apple of varieties (cultivars) grown from the species Annona squamosa L._x000D_
c) Atemoya hybrid from the species Annona cherimola Mill. and Annona squamosa L._x000D_
d) Soursop of varieties (cultivars) grown from the species Annona muricata L.</t>
  </si>
  <si>
    <d:r xmlns:d="http://schemas.openxmlformats.org/spreadsheetml/2006/main">
      <d:rPr>
        <d:sz val="11"/>
        <d:rFont val="Calibri"/>
      </d:rPr>
      <d:t xml:space="preserve">https://members.wto.org/crnattachments/2024/TBT/UGA/24_05187_00_e.pdf</d:t>
    </d:r>
  </si>
  <si>
    <t>Consumer information, labelling (TBT); Consumer information, labelling (TBT); Protection of human health or safety (TBT); Protection of human health or safety (TBT); Quality requirements (TBT); Quality requirements (TBT); Reducing trade barriers and facilitating trade (TBT); Reducing trade barriers and facilitating trade (TBT)</t>
  </si>
  <si>
    <t>DUS DARS 900:2024, Fresh strawberries — Specification, First Edition</t>
  </si>
  <si>
    <t>This Draft Uganda Standard applies to strawberries of varieties (cultivars) grown from the genus Fragaria L. to be supplied fresh to the consumer, strawberries for industrial processing being excluded.</t>
  </si>
  <si>
    <t>Fresh strawberries (HS code(s): 081010); Fruits and derived products (ICS code(s): 67.080.10)</t>
  </si>
  <si>
    <t>081010 - Fresh strawberries</t>
  </si>
  <si>
    <d:r xmlns:d="http://schemas.openxmlformats.org/spreadsheetml/2006/main">
      <d:rPr>
        <d:sz val="11"/>
        <d:rFont val="Calibri"/>
      </d:rPr>
      <d:t xml:space="preserve">https://members.wto.org/crnattachments/2024/TBT/UGA/24_05191_00_e.pdf</d:t>
    </d:r>
  </si>
  <si>
    <t>Resolución No. 00009907 del 5 de agosto 2024 "Por la cual se establecen los requisitos para obtener el registro ante el ICA de los establecimientos productores de animales acuáticos para reproducción o consumo humano, con destino a la exportación" (Resolution No. 00009907 of 5 August 2024 establishing the requirements for the registration with the ICA of establishments producing aquatic animals for breeding or human consumption for export) The Republic of Colombia hereby notifies that it has issued Resolution No. 00009907 of 5 August 2024 establishing the requirements for the registration with the ICA of establishments producing aquatic animals for breeding or human consumption for export, which was published in Official Journal No. 52.839 of 5 August 2024 and entered into force the same day. https://www.ica.gov.co/getattachment/839551a8-25ba-4dff-947b-bbde912231a3/2024R00009907.aspx https://members.wto.org/crnattachments/2024/SPS/COL/24_05172_00_s.pdf</t>
  </si>
  <si>
    <t>Live animals (HS Code(s): 01); Environment. Health protection. Safety (ICS code(s): 13)</t>
  </si>
  <si>
    <t>01 - LIVE ANIMALS; 01 - LIVE ANIMALS</t>
  </si>
  <si>
    <d:r xmlns:d="http://schemas.openxmlformats.org/spreadsheetml/2006/main">
      <d:rPr>
        <d:sz val="11"/>
        <d:rFont val="Calibri"/>
      </d:rPr>
      <d:t xml:space="preserve">https://members.wto.org/crnattachments/2024/SPS/COL/24_05172_00_s.pdf
https://www.ica.gov.co/getattachment/839551a8-25ba-4dff-947b-bbde912231a3/2024R00009907.aspx</d:t>
    </d:r>
  </si>
  <si>
    <t xml:space="preserve">1-Bromopropane (1-BP); Regulation Under the Toxic Substances 
Control Act (TSCA)</t>
  </si>
  <si>
    <t xml:space="preserve">Proposed rule - The Environmental Protection Agency (EPA or Agency) is 
proposing to address the unreasonable risk of injury to human health 
presented by 1-bromopropane (1-BP) (CASRN 106-94-5), also known as n-propyl bromide, under its conditions of use as documented in EPA's 
August 2020 Risk Evaluation for 1-BP and the December 2022 Revised Risk 
Determination for 1-BP prepared under the Toxic Substances Control Act &gt;TSCA). 1-BP is a widely used solvent in a variety of occupational and 
consumer applications, including vapor degreasing, aerosol degreasing, 
adhesives and sealants, and in insulation. EPA determined that 1-BP 
presents an unreasonable risk of injury to health due to the 
significant adverse health effects associated with exposure to 1-BP, 
including neurotoxicity, developmental toxicity from acute and chronic 
inhalation exposures and dermal exposures, and cancer from chronic 
inhalation exposures. TSCA requires that EPA address by rule any 
unreasonable risk of injury to health or the environment identified in 
a TSCA risk evaluation and apply requirements to the extent necessary 
so the chemical no longer presents unreasonable risk. To address the 
identified unreasonable risk, EPA is proposing requirements to, among 
other things, prevent consumer access to the chemical, restrict the 
industrial and commercial use of the chemical while also allowing for a 
reasonable transition period where an industrial and commercial use of 
the chemical is being prohibited, and protect workers from the 
unreasonable risk of 1-BP while on the job.</t>
  </si>
  <si>
    <t>1-Bromopropane (1-BP); Environmental protection (ICS code(s): 13.020); Air quality (ICS code(s): 13.040); Occupational safety. Industrial hygiene (ICS code(s): 13.100); Domestic safety (ICS code(s): 13.120); Production in the chemical industry (ICS code(s): 71.020); Products of the chemical industry (ICS code(s): 71.100)</t>
  </si>
  <si>
    <t>13.020 - Environmental protection; 13.040 - Air quality; 13.100 - Occupational safety. Industrial hygiene; 13.120 - Domestic safety; 71.020 - Production in the chemical industry; 71.100 - Products of the chemical industry</t>
  </si>
  <si>
    <d:r xmlns:d="http://schemas.openxmlformats.org/spreadsheetml/2006/main">
      <d:rPr>
        <d:sz val="11"/>
        <d:rFont val="Calibri"/>
      </d:rPr>
      <d:t xml:space="preserve">https://members.wto.org/crnattachments/2024/TBT/USA/24_05180_00_s.pdf</d:t>
    </d:r>
  </si>
  <si>
    <t>DUS DARS 900:2024, Fresh strawberries - Specification, First edition</t>
  </si>
  <si>
    <d:r xmlns:d="http://schemas.openxmlformats.org/spreadsheetml/2006/main">
      <d:rPr>
        <d:sz val="11"/>
        <d:rFont val="Calibri"/>
      </d:rPr>
      <d:t xml:space="preserve">https://members.wto.org/crnattachments/2024/SPS/UGA/24_05190_00_e.pdf</d:t>
    </d:r>
  </si>
  <si>
    <t>DEAS 1142: 2023, Liquid glass cleaner — Specification, First Edition</t>
  </si>
  <si>
    <t>Burundi, Kenya, Rwanda, Tanzania and Uganda would like to inform WTO Members that the DEAS 1142: 2023, Liquid glass cleaner — Specification, First Edition, notified in G/TBT/N/BDI/355, G/TBT/N/KEN/1427, G/TBT/N/RWA/863, G/TBT/N/TZA/969, G/TBT/N/UGA/1771 was adopted by the East African Community Council of Ministers on 14 June 2024 as EAS 1142: 2023, Liquid glass cleaner — Specification, First Edition.</t>
  </si>
  <si>
    <t>Glass or metal polishes, whether or not in the form of paper, wadding, felt, nonwovens, cellular plastics or cellular rubber, impregnated, coated or covered with such preparations (HS code(s): 340590); Surface active agents (ICS code(s): 71.100.40)</t>
  </si>
  <si>
    <t>340590 - Glass or metal polishes, whether or not in the form of paper, wadding, felt, nonwovens, cellular plastics or cellular rubber, impregnated, coated or covered with such preparations; 340590 - Glass or metal polishes, whether or not in the form of paper, wadding, felt, nonwovens, cellular plastics or cellular rubber, impregnated, coated or covered with such preparations</t>
  </si>
  <si>
    <t>Draft Order of the Ministry of Health of Ukraine “On Approval of Amendments to the Procedure for Notifying (Submitting Information) on Cosmetic Products”</t>
  </si>
  <si>
    <t>Ukraine notifies the adoption of the Order of the Ministry of Health of Ukraine No. 1264  “On Approval of Amendments to the Procedure for Notifying (Submitting Information) on Cosmetic Products” of 19 July 2024.The Order was registered in the Ministry of Justice of Ukraine on 29 July 2024 and published on 02 August 2024. The Order entered into force on 03 August 2024.</t>
  </si>
  <si>
    <t>Cosmetic products</t>
  </si>
  <si>
    <d:r xmlns:d="http://schemas.openxmlformats.org/spreadsheetml/2006/main">
      <d:rPr>
        <d:sz val="11"/>
        <d:rFont val="Calibri"/>
      </d:rPr>
      <d:t xml:space="preserve">https://members.wto.org/crnattachments/2024/TBT/UKR/final_measure/24_05192_00_e.pdf
https://members.wto.org/crnattachments/2024/TBT/UKR/final_measure/24_05192_01_e.pdf
https://members.wto.org/crnattachments/2024/TBT/UKR/final_measure/24_05192_00_x.pdf</d:t>
    </d:r>
  </si>
  <si>
    <t>DUS DARS 894:2024, Fresh apricots — Specification, First edition</t>
  </si>
  <si>
    <t>This Draft Uganda Standard applies to apricots of varieties (cultivars) grown from Prunus armeniaca L. and inter-specific hybrids derived from apricot (Prunus armeniaca) and plums (Prunus domestica or Prunus salicina) showing apricot characteristics to be supplied fresh to the consumer, apricots for industrial processing being excluded.</t>
  </si>
  <si>
    <t>Fresh apricots (HS code(s): 080910); Fruits and derived products (ICS code(s): 67.080.10)</t>
  </si>
  <si>
    <t>080910 - Fresh apricots</t>
  </si>
  <si>
    <d:r xmlns:d="http://schemas.openxmlformats.org/spreadsheetml/2006/main">
      <d:rPr>
        <d:sz val="11"/>
        <d:rFont val="Calibri"/>
      </d:rPr>
      <d:t xml:space="preserve">https://members.wto.org/crnattachments/2024/TBT/UGA/24_05194_00_e.pdf</d:t>
    </d:r>
  </si>
  <si>
    <t>DUS DARS 896:2024, Fresh kiwifruit - Specification, First edition</t>
  </si>
  <si>
    <d:r xmlns:d="http://schemas.openxmlformats.org/spreadsheetml/2006/main">
      <d:rPr>
        <d:sz val="11"/>
        <d:rFont val="Calibri"/>
      </d:rPr>
      <d:t xml:space="preserve">https://members.wto.org/crnattachments/2024/SPS/UGA/24_05196_00_e.pdf</d:t>
    </d:r>
  </si>
  <si>
    <t>DEAS 1153:2023, Windows and doors made from rolled steel sheets and steel sections — Specification</t>
  </si>
  <si>
    <t>Burundi, Kenya, Rwanda, Tanzania and Uganda would like to inform WTO Members that the Draft East African Standard; DEAS 1153:2023, Windows and doors made from rolled steel sheets and steel sections — Specification, notified in G/TBT/N/BDI/382, G/TBT/N/KEN/1462, G/TBT/N/RWA/894, G/TBT/N/TZA/996, G/TBT/N/UGA/1799 was adopted by the East African Community Council of Ministers on 14 June 2023 as EAS 1153:2024, Windows and doors made from rolled steel sheets and steel sections — Specification</t>
  </si>
  <si>
    <t>Doors, windows and their frames and thresholds for doors, of iron or steel (HS code(s): 730830); Doors and windows (ICS code(s): 91.060.50)</t>
  </si>
  <si>
    <t>730830 - Doors, windows and their frames and thresholds for doors, of iron or steel; 730830 - Doors, windows and their frames and thresholds for doors, of iron or steel</t>
  </si>
  <si>
    <t>91.060.50 - Doors and windows; 91.060.50 - Doors and windows</t>
  </si>
  <si>
    <t>FSIS is announcing its proposed determination that raw chicken carcasses, chicken parts, comminuted chicken, and comminuted turkey products contaminated with certain Salmonella levels and serotypes are adulterated within the meaning of the Poultry Products Inspection Act. The proposed determination would establish final product standards based on these Salmonella levels and serotypes and would prevent raw chicken carcasses, chicken parts, comminuted chicken, and comminuted turkey products that contain Salmonella at the levels and serotypes that would render them adulterated from entering commerce. FSIS is also proposing to revise the regulations that require that all poultry slaughter establishments develop, implement, and maintain written procedures to prevent contamination by enteric pathogens throughout the entire slaughter and dressing operation to clarify that these procedures must include a microbial monitoring program that incorporates statistical process control monitoring methods, to require sampling at rehang instead of pre-chill, and to require that all establishments conduct paired sampling at rehang and post-chill.</t>
  </si>
  <si>
    <t>02 - MEAT AND EDIBLE MEAT OFFAL; 0301 - Live fish; 0302 - Fish, fresh or chilled (excl. fish fillets and other fish meat of heading 0304); 0303 - Frozen fish (excl. fish fillets and other fish meat of heading 0304); 0304 - Fish fillets and other fish meat, whether or not minced, fresh, chilled or frozen; 0305 - Fish, fit for human consumption, dried, salted or in brine; smoked fish, fit for human consumption, whether or not cooked before or during the smoking process; 0407 - Birds' eggs, in shell, fresh, preserved or cooked</t>
  </si>
  <si>
    <t>Human health; Food safety; Zoonoses; Salmonella</t>
  </si>
  <si>
    <t>DUS DARS 894:2024, Fresh apricots - Specification, First edition</t>
  </si>
  <si>
    <d:r xmlns:d="http://schemas.openxmlformats.org/spreadsheetml/2006/main">
      <d:rPr>
        <d:sz val="11"/>
        <d:rFont val="Calibri"/>
      </d:rPr>
      <d:t xml:space="preserve">https://members.wto.org/crnattachments/2024/SPS/UGA/24_05193_00_e.pdf</d:t>
    </d:r>
  </si>
  <si>
    <t>DUS DARS 943, Fresh Cornelian cherry - Specification, First edition</t>
  </si>
  <si>
    <t>Edible fruit or nut trees, shrubs and bushes, whether or not grafted (HS code(s): 060220); Fruits and derived products (ICS code(s): 67.080.10); Fresh Cornelian cherry </t>
  </si>
  <si>
    <d:r xmlns:d="http://schemas.openxmlformats.org/spreadsheetml/2006/main">
      <d:rPr>
        <d:sz val="11"/>
        <d:rFont val="Calibri"/>
      </d:rPr>
      <d:t xml:space="preserve">https://members.wto.org/crnattachments/2024/SPS/UGA/24_05184_00_e.pdf</d:t>
    </d:r>
  </si>
  <si>
    <t>DUS DARS 972:2024, Fresh artichokes - Specification, First edition</t>
  </si>
  <si>
    <t>This African Standard applies to artichoke heads of varieties (cultivars) grown from Cynara cardunculus L. Scolymus Group to be supplied fresh to the consumer, artichokes for industrial processing being excluded. The names "Poivrade" and "Bouquet" refer to young, cone-shaped artichokes of the violet type.</t>
  </si>
  <si>
    <t>Fresh or chilled globe artichokes (HS code(s): 070991); Fruits, Vegetables (ICS code(s): 67.080)</t>
  </si>
  <si>
    <d:r xmlns:d="http://schemas.openxmlformats.org/spreadsheetml/2006/main">
      <d:rPr>
        <d:sz val="11"/>
        <d:rFont val="Calibri"/>
      </d:rPr>
      <d:t xml:space="preserve">https://members.wto.org/crnattachments/2024/SPS/UGA/24_05198_00_e.pdf</d:t>
    </d:r>
  </si>
  <si>
    <t>DEAS 468:2023, Pre-painted metal coated steel sheets and coils — Specification, Fouth Edition</t>
  </si>
  <si>
    <t>Burundi, Kenya, Rwanda, Tanzania and Uganda would like to inform WTO Members that the Draft East African Standard; DEAS 468:2023, Pre-painted metal coated steel sheets and coils — Specification, Fourth Edition, notified in G/TBT/N/BDI/378, G/TBT/N/KEN/1458, G/TBT/N/RWA/890, G/TBT/N/TZA/992, G/TBT/N/UGA/1795 was adopted by the East African Community Council of Ministers on 14 June 2024 as EAS 468:2023, Pre-painted metal coated steel sheets and coils — Specification, Fourth Edition.</t>
  </si>
  <si>
    <t xml:space="preserve">Flat-rolled products of iron or non-alloy steel, of a width of &gt;= 600 mm, in coils, simply cold-rolled "cold-reduced", not clad, plated or coated, of a thickness of </t>
  </si>
  <si>
    <t>720918 - Flat-rolled products of iron or non-alloy steel, of a width of &gt;= 600 mm, in coils, simply cold-rolled "cold-reduced", not clad, plated or coated, of a thickness of &lt; 0,5 mm; 720918 - Flat-rolled products of iron or non-alloy steel, of a width of &gt;= 600 mm, in coils, simply cold-rolled "cold-reduced", not clad, plated or coated, of a thickness of &lt; 0,5 mm</t>
  </si>
  <si>
    <t>77.140.01 - Iron and steel products in general; 77.140.01 - Iron and steel products in general</t>
  </si>
  <si>
    <t>The Ministry of Public Health (MOPH) considered that the existing Notifications of Ministry of Public Health (No.213) B.E 2543 (2000) Issued by virtue of the Food Act B.E. 2522 Re: Jam, jelly, and marmalade in sealed containers should be revised the measure and quality or standards pertaining to jams, jellies, and marmalades as follows:1. The Notification of the Ministry of Public Health, No. 213) B.E 2543 (2000) Issued by virtue of the Food Act B.E. 2522 Re: Jam, jelly, and marmalade in sealed containers, dated 19 September B.E. 2543 (2000) shall be repealed and replaced by this (Draft) MOPH Notification;2. Improve the definitions and expand the scope of products to include jams, jellies, citrus marmalades, non-citrus marmalades, and jelly marmalades.3. Prescribe the basic ingredients and other permitted ingredients 4. Improve the standard of soluble solids content 5. Improve the standard of fruit content.6.Improve the microbiological safety criteria such as yeast and mold, and pathogenic microorganisms.7. Prescribe the labelling for jams, jellies, and marmalades.This draft has also been notified in the SPS notification.</t>
  </si>
  <si>
    <t>Jams, jellies and marmalades (ICS 67.080)</t>
  </si>
  <si>
    <d:r xmlns:d="http://schemas.openxmlformats.org/spreadsheetml/2006/main">
      <d:rPr>
        <d:sz val="11"/>
        <d:rFont val="Calibri"/>
      </d:rPr>
      <d:t xml:space="preserve">https://members.wto.org/crnattachments/2024/TBT/THA/24_05183_00_x.pdf</d:t>
    </d:r>
  </si>
  <si>
    <t>Consumer information, labelling (TBT); Harmonization (TBT); Reducing trade barriers and facilitating trade (TBT)</t>
  </si>
  <si>
    <t>Filing of Food Additive Petition From Environmental Defense Fund, Breast Cancer Prevention Partners, Center for Food Safety, Environmental Working Group, Tom Neltner, and Maricel Maffini; Request To Amend the Food Additive Regulations To Remove Authorization of Fluorinated Polyethylene; Reopening of the Comment Period; Correction</t>
  </si>
  <si>
    <t>The Food and Drug Administration (FDA or we) is reopening the comment period for the notification of petition, published in the Federal Register of 26 April 2024, announcing that we have filed a food additive petition, submitted by Environmental Defense Fund, et al., proposing that the food additive regulations be amended to remove fluorinated polyethylene. FDA is reopening the comment period to add the food additive petition to the docket. FDA is also making a correction to the filing notice.</t>
  </si>
  <si>
    <t>Polymers of ethylene, in primary forms (HS code(s): 3901); Food technology (ICS code(s): 67)</t>
  </si>
  <si>
    <t>3901 - Polymers of ethylene, in primary forms; 3901 - Polymers of ethylene, in primary forms</t>
  </si>
  <si>
    <t>Modification of final date for comments; Human health; Food safety; Food additives; Food additives; Human health; Food safety</t>
  </si>
  <si>
    <d:r xmlns:d="http://schemas.openxmlformats.org/spreadsheetml/2006/main">
      <d:rPr>
        <d:sz val="11"/>
        <d:rFont val="Calibri"/>
      </d:rPr>
      <d:t xml:space="preserve">https://www.federalregister.gov/d/2024-16337</d:t>
    </d:r>
  </si>
  <si>
    <t>Publication of RSS-133, Issue 7 — Personal Communications Service Equipment Operating in the Bands 1850-1915 MHz and 1930-1995 MHz</t>
  </si>
  <si>
    <t>Notice is hereby given that Innovation, Science and Economic Development Canada (ISED) has published the following document:Radio Standards Specification RSS-133, Issue 7, Personal Communications Service Equipment Operating in the Bands 1850-1915 MHz and 1930-1995 MHz sets out the certification requirements for Personal Communications Service (PCS) equipment operating in the bands 1850-1915 MHz and 1930-1995 MHz.</t>
  </si>
  <si>
    <t>DUS DARS 901:2024, Fresh berry fruits — Specification, First edition</t>
  </si>
  <si>
    <t xml:space="preserve">This Draft Uganda Standard applies to berry fruits of species and varieties (cultivars) grown from the following species to be supplied fresh to the consumer, berry fruits for industrial processing being excluded:_x000D_
a) raspberries (Rubus idaeus L.)_x000D_
b) blackberries (Rubus sect. Rubus)_x000D_
c) loganberries (Rubus loganobaccus L. H. Bailey)_x000D_
d) currants (Ribes rubrum L., Ribes nigrum L.)_x000D_
e) gooseberries (Ribes uva-crispa L.)_x000D_
f) bilberries (Vaccinium myrtillus L.)_x000D_
g) blueberries (Vaccinium corymbosum L., Vaccinium formosum Andrews, Vaccinium_x000D_
angustifolium Aiton, Vaccinium virgatum Aiton)_x000D_
h) cowberries, lingonberries (Vaccinium vitis-idaea L.)_x000D_
i) cranberries (Vaccinium macrocarpon Aiton)_x000D_
j) wild cranberries (Vaccinium oxycoccos L.)_x000D_
k) cloudberries (Rubus chamaemorus L.)_x000D_
l) hybrids of these species such as boysenberries (Rubus ursinus Cham. et Schltdl. x_x000D_
m) Rubus idaeus L.), tayberries (Rubus sect. Rubus x Rubus idaeus L.), jostaberries (Ribes nigrum L. x Ribes uva-crispa L.).</t>
  </si>
  <si>
    <t>Fresh raspberries, blackberries, mulberries and loganberries (HS code(s): 081020); Fresh cranberries, bilberries and other fruits of the genus Vaccinium (HS code(s): 081040); Cranberry or lingonberry "Vaccinium macrocarpon, Vaccinium oxycoccos, Vaccinium vitis-idaea" juice, unfermented, whether or not containing added sugar or other sweetening matter (excl. containing spirit) (HS code(s): 200981); Fruits and derived products (ICS code(s): 67.080.10); Fresh berry fruits</t>
  </si>
  <si>
    <t>081020 - Fresh raspberries, blackberries, mulberries and loganberries; 081040 - Fresh cranberries, bilberries and other fruits of the genus Vaccinium; 200981 - Cranberry or lingonberry "Vaccinium macrocarpon, Vaccinium oxycoccos, Vaccinium vitis-idaea" juice, unfermented, whether or not containing added sugar or other sweetening matter (excl. containing spirit)</t>
  </si>
  <si>
    <d:r xmlns:d="http://schemas.openxmlformats.org/spreadsheetml/2006/main">
      <d:rPr>
        <d:sz val="11"/>
        <d:rFont val="Calibri"/>
      </d:rPr>
      <d:t xml:space="preserve">https://members.wto.org/crnattachments/2024/TBT/UGA/24_05189_00_e.pdf</d:t>
    </d:r>
  </si>
  <si>
    <t>Standards and Quality Law</t>
  </si>
  <si>
    <t>This Law aims to lay down and determine a general framework for standardization and quality.</t>
  </si>
  <si>
    <t>03.120 - Quality</t>
  </si>
  <si>
    <t>Consumer information, labelling (TBT); Protection of human health or safety (TBT); Protection of animal or plant life or health (TBT); Protection of the environment (TBT); Quality requirements (TBT)</t>
  </si>
  <si>
    <d:r xmlns:d="http://schemas.openxmlformats.org/spreadsheetml/2006/main">
      <d:rPr>
        <d:sz val="11"/>
        <d:rFont val="Calibri"/>
      </d:rPr>
      <d:t xml:space="preserve">https://members.wto.org/crnattachments/2024/TBT/SAU/24_05025_00_x.pdf
www.saso.gov.sa
</d:t>
    </d:r>
  </si>
  <si>
    <t>DUS DARS 901:2024: Fresh berry fruits - Specification, First edition</t>
  </si>
  <si>
    <t>This Draft Uganda Standard applies to berry fruits of species and varieties (cultivars) grown from the following species to be supplied fresh to the consumer, berry fruits for industrial processing being excluded:a)    raspberries (Rubus idaeus L.)b)    blackberries (Rubus sect. Rubusc)    loganberries (Rubus loganobaccus L. H. Bailey)d)    currants (Ribes rubrum L., Ribes nigrum L.)e)    gooseberries (Ribes uva-crispa L.)f)     bilberries (Vaccinium myrtillus L.)g)    blueberries (Vaccinium corymbosum L., Vaccinium formosum Andrews, Vaccinium angustifolium Aiton, Vaccinium virgatum Aiton)h)    cowberries, lingonberries (Vaccinium vitis-idaea L.)i)     cranberries (Vaccinium macrocarpon Aiton)j)     wild cranberriesVaccinium oxycoccos L.)k)    cloudberries (Rubus chamaemorus L.)l)     hybrids of these species such as boysenberries (Rubus ursinus Cham. et Schltdl.)m)        Rubus idaeus L.), tayberries (Rubus sect. Rubus x Rubus idaeus L.), jostaberries (Ribes nigrum L. x Ribes uva-crispa L.).</t>
  </si>
  <si>
    <t>Fresh raspberries, blackberries, mulberries and loganberries (HS code(s): 081020); Fresh black-, white- or redcurrants and gooseberries (HS code(s): 081030); Fresh cranberries, bilberries and other fruits of the genus Vaccinium (HS code(s): 081040); Fruits and derived products (ICS code(s): 67.080.10); Fresh berry fruits</t>
  </si>
  <si>
    <t>081020 - Fresh raspberries, blackberries, mulberries and loganberries; 081030 - Fresh black-, white- or redcurrants and gooseberries; 081040 - Fresh cranberries, bilberries and other fruits of the genus Vaccinium</t>
  </si>
  <si>
    <d:r xmlns:d="http://schemas.openxmlformats.org/spreadsheetml/2006/main">
      <d:rPr>
        <d:sz val="11"/>
        <d:rFont val="Calibri"/>
      </d:rPr>
      <d:t xml:space="preserve">https://members.wto.org/crnattachments/2024/SPS/UGA/24_05188_00_e.pdf</d:t>
    </d:r>
  </si>
  <si>
    <t>Resolución No. 4.883 exenta. Medidas sanitarias aplicadas sobre el estado de Río Grande del sur en la República Federativa de Brasil por brote de enfermedad de Newcastle (Exempt Resolution No. 4.883: Sanitary measures applied to the State of Rio Grande do Sul in the Federative Republic of Brazil following an outbreak of Newcastle disease)</t>
  </si>
  <si>
    <t>The notified Resolution establishes the following measures for the State of Rio Grande do Sul in the Federative Republic of Brazil following an outbreak of Newcastle disease: The importation of the following animals and products into Chile from the State of Rio Grande do Sul in Brazil is suspended: a. Fertilized eggs and day-old chicks (including quail). b. Ornamental or recreational birds. c. Fresh, chilled or frozen poultry meat and edible heads and feet. d. Eggs in shell for consumption. e. Processed fresh poultry meat products and prepared meals containing fresh poultry meat. In the case of fresh, chilled or frozen poultry meat, edible heads and feet, eggs in shell for consumption, processed fresh poultry meat products and prepared meals containing fresh poultry meat, the measure applies to shipments exported to Chile with production dates after 18 June 2024. Matured, cooked or acidified processed poultry meat products may be exported to Chile only if they comply with the heat treatments and conditions established in Resolution No. 3.212 of 2022. Further details can be found in the document attached to this notification. G/SPS/N/CHL/798 - 2 -</t>
  </si>
  <si>
    <t>Live birds, their products and by-products</t>
  </si>
  <si>
    <t>Animal health; Animal diseases; Zoonoses; Newcastle Disease</t>
  </si>
  <si>
    <t>Brazil, Rio Grande do Sul</t>
  </si>
  <si>
    <d:r xmlns:d="http://schemas.openxmlformats.org/spreadsheetml/2006/main">
      <d:rPr>
        <d:sz val="11"/>
        <d:rFont val="Calibri"/>
      </d:rPr>
      <d:t xml:space="preserve">https://members.wto.org/crnattachments/2024/SPS/CHL/24_05177_00_s.pdf
https://members.wto.org/crnattachments/2024/SPS/CHL/24_05177_01_s.pdf
https://members.wto.org/crnattachments/2024/SPS/CHL/24_05177_02_s.pdf</d:t>
    </d:r>
  </si>
  <si>
    <t>DEAS 66-3: 2023, Tomato products — Specification — Part 3: Tomato juice, Third Edition</t>
  </si>
  <si>
    <t>Burundi, Kenya, Rwanda, Tanzania and Uganda would like to inform WTO Members that the Draft East African Standard; DEAS 66-3: 2023, Tomato products — Specification — Part 3: Tomato juice, Third Edition, notified in G/SPS/N/BDI/62, G/SPS/N/KEN/218, G/SPS/N/RWA/55, G/SPS/N/TZA/284, G/SPS/N/UGA/259 was adopted by the East African Community Council of Ministers on 14 June 2024 as EAS 66-3: 2023, Tomato products — Specification — Part 3: Tomato juice, Third Edition</t>
  </si>
  <si>
    <t>Other vegetables, fresh or chilled (excl. potatoes, tomatoes, alliaceous vegetables, edible brassicas, lettuce "Lactuca sativa" and chicory "Cichorium spp.", carrots, turnips, salad beetroot, salsify, celeriac, radishes and similar edible roots, cucumbers and gherkins, and leguminous vegetables) (HS code(s): 0709); Vegetables and derived products (ICS code(s): 67.080.20)</t>
  </si>
  <si>
    <t>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t>
  </si>
  <si>
    <t>67.080.20 - Vegetables and derived products; 67.080.20 - Vegetables and derived products</t>
  </si>
  <si>
    <t>Human health; Food safety; Adoption/publication/entry into force of reg.; Human health; Food safety</t>
  </si>
  <si>
    <t>DEAS 66-1: 2023, Tomato products — Specification — Part 1: Canned tomato, Third Edition</t>
  </si>
  <si>
    <t>Burundi, Kenya, Rwanda, Tanzania and Uganda would like to inform WTO Members that the Draft East African Standard; DEAS 66-1: 2023, Tomato products — Specification — Part 1: Canned tomato, Third Edition, notified in G/SPS/N/BDI/60, G/SPS/N/KEN/216, G/SPS/N/RWA/53, G/SPS/N/TZA/282, G/SPS/N/UGA/257 was adopted by the East African Community Council of Ministers on 14 June 2024 as EAS 66-1: 2023, Tomato products — Specification — Part 1: Canned tomato, Third Edition</t>
  </si>
  <si>
    <t>Burundi, Kenya, Rwanda, Tanzania and Uganda would like to inform WTO Members that the Draft East African Standard; DEAS 1110:2022, Fruits and vegetable chutney — Specification, First Edition, notified in G/SPS/N/BDI/29, G/SPS/N/KEN/182, G/SPS/N/RWA/22, G/SPS/N/TZA/215, G/SPS/N/UGA/224 was adopted by the East African Community Council of Ministers on 14 June 2024 as EAS 43:2022, Bread — Specification, Third Edition.</t>
  </si>
  <si>
    <t>Other (HS code(s): 200190); Fruits. Vegetables (ICS code(s): 67.080)</t>
  </si>
  <si>
    <t>DEAS 893: 2023, Chilli sauce — Specification, Second Edition</t>
  </si>
  <si>
    <t>Burundi, Kenya, Rwanda, Tanzania and Uganda would like to inform WTO Members that the Draft East African Standard; DEAS 893: 2023, Chilli sauce — Specification, Second Edition, notified in G/TBT/N/BDI/390, G/TBT/N/KEN/1470, G/TBT/N/RWA/902, G/TBT/N/TZA/1004, G/TBT/N/UGA/1809 was adopted by the East African Community Council of Ministers on 14 June 2024 as EAS 893: 2023, Chilli sauce — Specification, Second Edition</t>
  </si>
  <si>
    <t>Other vegetables, fresh or chilled (excl. potatoes, tomatoes, alliaceous vegetables, edible brassicas, lettuce "Lactuca sativa" and chicory "Cichorium spp.", carrots, turnips, salad beetroot, salsify, celeriac, radishes and similar edible roots, cucumbers and gherkins, and leguminous vegatables) (HS code(s): 0709); Vegetables and derived products (ICS code(s): 67.080.20)</t>
  </si>
  <si>
    <t>The implementation of the “Quarantine Requirements for the Importation of Plants or Plant Products”</t>
  </si>
  <si>
    <t>The Separate Customs Territory of Taiwan, Penghu, Kinmen and Matsu notified the draft of the “Quarantine Requirements for the Importation of Plants or Plant Products” on 14 May 2024 (G/SPS/N/TPKM/628). The regulation was published and became effective on 31 July 2024 (except the part of Melon necrotic spot virus, MNSV). The new regulation can be found on https://www.aphia.gov.tw/en/ws.php?id=14342.</t>
  </si>
  <si>
    <t>Adoption/publication/entry into force of reg.; Plant health; Pests; Territory protection; Pests; Territory protection; Plant health</t>
  </si>
  <si>
    <t>Partial Revision to the Cabinet Office Ordinance on the Permission, etc. for Special Use Labelling provided for in the Health Promotion Act</t>
  </si>
  <si>
    <t>In order to maintain and promote the health of the people, the following amendments shall be made.・The labeling items currently stipulated in the public notice concerning food for special purposes (excluding food for specified health uses) shall be stipulated in a Cabinet Office Ordinance.・Add a matter requiring applicants for the labeling of food for special purposes to submit data on measures to be taken to inform consumers of the contents of the labeling, when the Commissioner of the Consumer Affairs Agency deems it particularly necessary.</t>
  </si>
  <si>
    <t>Foods for Special Dietary Uses</t>
  </si>
  <si>
    <d:r xmlns:d="http://schemas.openxmlformats.org/spreadsheetml/2006/main">
      <d:rPr>
        <d:sz val="11"/>
        <d:rFont val="Calibri"/>
      </d:rPr>
      <d:t xml:space="preserve">https://members.wto.org/crnattachments/2024/TBT/JPN/24_05165_00_e.pdf</d:t>
    </d:r>
  </si>
  <si>
    <t>DEAS 66-1: 2023, Tomato products — Specification — Part 1: Canned tomato,Third Edition </t>
  </si>
  <si>
    <t>Burundi, Kenya, Rwanda, Tanzania and Uganda would like to inform WTO Members that the Draft East African Standard; DEAS 66-1: 2023, Tomato products — Specification — Part 1: Canned tomato,Third Edition  notified in G/TBT/N/BDI/387, G/TBT/N/KEN/1467, G/TBT/N/RWA/899, G/TBT/N/TZA/1001, G/TBT/N/UGA/1806 was adopted by the East African Community Council of Ministers on 14 June 2024 as EAS 66-1: 2023, Tomato products — Specification — Part 1: Canned tomato,Third Edition. </t>
  </si>
  <si>
    <t>Burundi, Kenya, Rwanda, Tanzania and Uganda would like to inform WTO Members that the Draft East African Standard; DEAS 66-3: 2023, Tomato products — Specification — Part 3: Tomato juice, Third Edition, notified in G/TBT/N/BDI/389, G/TBT/N/KEN/1469, G/TBT/N/RWA/901, G/TBT/N/TZA/1003, G/TBT/N/UGA/1808 was adopted by the East African Community Council of Ministers on 14 June 2024 as EAS 66-3: 2023, Tomato products — Specification — Part 3: Tomato juice, Third Edition</t>
  </si>
  <si>
    <t>DEAS 1155:2023, Padlocks and padlock fittings — Specification, First edition</t>
  </si>
  <si>
    <t>Burundi, Kenya, Rwanda, Tanzania and Uganda would like to inform WTO Members that the Draft East African Standard; DEAS 1155:2023, Padlocks and padlock fittings — Specification, First edition, notified in G/TBT/N/BDI/380, G/TBT/N/KEN/1460, G/TBT/N/RWA/892, G/TBT/N/TZA/994, G/TBT/N/UGA/1797 was adopted by the East African Community Council of Ministers on 14 June 2024 as EAS 1155:2023, Padlocks and padlock fittings — Specification, First edition</t>
  </si>
  <si>
    <t>Padlocks of base metal (HS code(s): 830110); Building accessories (ICS code(s): 91.190)</t>
  </si>
  <si>
    <t>830110 - Padlocks of base metal; 830110 - Padlocks of base metal</t>
  </si>
  <si>
    <t>91.190 - Building accessories; 91.190 - Building accessories</t>
  </si>
  <si>
    <t>DEAS 66-2: 2023, Tomato products — Specification — Part 2: Tomato sauce and ketchup, First Edition</t>
  </si>
  <si>
    <t>Burundi, Kenya, Rwanda, Tanzania and Uganda would like to inform WTO Members that the Draft East African Standard; DEAS 66-2: 2023, Tomato products — Specification — Part 2: Tomato sauce and ketchup, First Edition, notified in DEAS 66-2: 2023, Tomato products — Specification — Part 2: Tomato sauce and ketchup, First Edition was adopted by the East African Community Council of Ministers on 14 June 2024 as EAS 66-2: 2023, Tomato products — Specification — Part 2: Tomato sauce and ketchup, First Edition</t>
  </si>
  <si>
    <t>DEAS 1109:2022, Fruit and vegetable ketchup — Specification, First Edition</t>
  </si>
  <si>
    <t>Burundi, Kenya, Rwanda, Tanzania and Uganda would like to inform WTO Members that the Draft East African Standard; DEAS 1109:2022, Fruit and vegetable ketchup — Specification, First Edition, notified in G/SPS/N/BDI/28, G/SPS/N/KEN/181, G/SPS/N/RWA/21, G/SPS/N/TZA/214, G/SPS/N/UGA/223 was adopted by the East African Community Council of Ministers on 14 June  2024 as EAS 1109:2022, Fruit and vegetable ketchup — Specification, First Edition</t>
  </si>
  <si>
    <t>Tomato ketchup and other tomato sauces (HS code(s): 210320); Fruits. Vegetables (ICS code(s): 67.080)</t>
  </si>
  <si>
    <t>Nepal</t>
  </si>
  <si>
    <t>Proposed quality and safety standard of Chhurpi, a traditional product of Nepal</t>
  </si>
  <si>
    <t>Nepal proposes a mandatory quality and safety standard for Chhurpi, a traditional product of Nepal. Chhurpi is produced from milk of cow, yak or buffalo or mixed milk from traditional processing methods and is used for human consumption as well as for feed as chew. The purpose of this standard is to regulate the quality and hygiene of the product in order to ensure consumer health and fair trade.</t>
  </si>
  <si>
    <t>Nepal's traditional product called Chhurpi, obtained from cow, yak or buffalo milk or mixed milk processing</t>
  </si>
  <si>
    <d:r xmlns:d="http://schemas.openxmlformats.org/spreadsheetml/2006/main">
      <d:rPr>
        <d:sz val="11"/>
        <d:rFont val="Calibri"/>
      </d:rPr>
      <d:t xml:space="preserve">https://members.wto.org/crnattachments/2024/SPS/NPL/24_05163_00_x.pdf
https://spsenquiry.gov.np/?cat=32</d:t>
    </d:r>
  </si>
  <si>
    <t>Burundi, Kenya, Rwanda, Tanzania and Uganda would like to inform WTO Members that the Draft East African Standard;DEAS 893: 2023, Chilli sauce — Specification, Second Edition, notified in G/SPS/N/BDI/63, G/SPS/N/KEN/219, G/SPS/N/RWA/56, G/SPS/N/TZA/285, G/SPS/N/UGA/260 was adopted by the East African Community Council of Ministers on 14 June 2024 as EAS 893: 2023, Chilli sauce — Specification, Second Edition</t>
  </si>
  <si>
    <t>Burundi, Kenya, Rwanda, Tanzania and Uganda would like to inform WTO Members that the Draft East African Standard; DEAS 1108:2022, Fruits chips and crisps — Specification, First Edition, notified in G/SPS/N/BDI/27, G/SPS/N/KEN/180, G/SPS/N/RWA/20, G/SPS/N/TZA/213, G/SPS/N/UGA/222 was adopted by the East African Community Council of Ministers on 14 June 2024 as EAS 1108:2022, Fruits chips and crisps — Specification, First Edition</t>
  </si>
  <si>
    <t>Potatoes (HS code(s): 200520); Fruits. Vegetables (ICS code(s): 67.080)</t>
  </si>
  <si>
    <t>2024-2025 Brown Marmorated Stink Bug (BMSB) Seasonal Measures</t>
  </si>
  <si>
    <t>This notice builds on G/SPS/N/AUS/479 relating to seasonal measures for Brown marmorated stink bug (BMSB), released in July 2019.In response to the spread of brown marmorated stink bug (BMSB) throughout Europe and North America, the Australian Government has strengthened seasonal measures for the 2024-25 season to manage the risk of BMSB arriving in Australia.Target risk countries have increased from 39 for the 2023-24 season to 41 for the 2024-25 season.Measures will apply to certain goods manufactured in, or shipped from target risk countries, and/or vessels that berth at, load or tranship from target risk countries.Target risk countries for the 2024–25 season are:AlbaniaAndorraArmeniaAustriaAzerbaijanBelgiumBosnia and HerzegovinaBulgariaCanadaChina (measures applicable to vessels only)CroatiaCzech RepublicFranceGeorgiaGermanyGreeceHungaryItalyJapan (measures applicable to vessels only)KazakhstanKorea, Republic of (measures applicable to vessels only)KosovoLiechtensteinLuxembourgMontenegroMoldova, Republic ofNetherlandsNorth MacedoniaPolandPortugalRomaniaRussian FederationSerbiaSlovak RepublicSloveniaSwitzerlandSpainTürkiyeUkraineUnited States of AmericaUzbekistanAll roll-on roll-off (ro-ro) vessels will be subject to heightened vessel surveillance.All ro-ro vessels that berth at, load or tranship in target risk countries from 1 September to 30 April (inclusive) will be required to:conduct self-inspections and respond to specific questions as part of the pre-arrival reporting requirements, and-   undergo a mandatory seasonal pest inspection on arrival in Australia.Due to the changing risk status of BMSB, random onshore inspections on goods from emerging risk countries will be undertaken to verify pest absence.The measures will apply to goods shipped on board from 1 September to 30 April (inclusive).These measures are required to effectively manage the biosecurity risk from BMSB and to achieve Australia's appropriate level of protection.The approved treatment options for BMSB risk are:-   heat treatment-   methyl bromide fumigation and-   sulfuryl fluoride fumigation.Further information on the seasonal measures, including advice on target risk countries, measures for vessels, target high risk goods, measures relating to goods, treatment options and rates, safeguarding arrangements and Industry Advice Notices are published on agriculture.gov.au/bmsbA pest risk analysis report that identifies BMSB as a pest requiring risk management measures in order to achieve the appropriate level of protection for Australia was released in December 2019 and is available at:</t>
  </si>
  <si>
    <t>Sea freight consignments of containerised and break bulk cargo</t>
  </si>
  <si>
    <t>Pests; Plant health; Pest- or Disease- free Regions / Regionalization; Modification of content/scope of regulation; Plant health; Pest- or Disease- free Regions / Regionalization; Pests</t>
  </si>
  <si>
    <d:r xmlns:d="http://schemas.openxmlformats.org/spreadsheetml/2006/main">
      <d:rPr>
        <d:sz val="11"/>
        <d:rFont val="Calibri"/>
      </d:rPr>
      <d:t xml:space="preserve">http://www.agriculture.gov.au/biosecurity/risk-analysis/plant/brown-marmorated-stink-bug</d:t>
    </d:r>
  </si>
  <si>
    <t>Human health; Adoption/publication/entry into force of reg.; Food safety; Food safety; Human health</t>
  </si>
  <si>
    <t>Updates to Australian Phytosanitary Certificates</t>
  </si>
  <si>
    <t>This notification describes updates to Australian Phytosanitary Certificates. These changes ensure Australia is compliant and meets our international obligations under the International Plant Protection Convention (IPPC) and International Standards for Phytosanitary Measures (ISPM) 12. All phytosanitary certificates will include three new fields:Product PartProduct ConditionIntended Use The addition of these three new fields will change the appearance of our paper phytosanitary certificates and the location of some existing fields. These additional fields support the IPPC ePhyto Solution and the harmonisation of paper and electronic phytosanitary certificates.The updated certificates will be released during October 2024. Throughout this time, there will be a transition period where old and new certificates will be seen and accepted.</t>
  </si>
  <si>
    <t>All plants and plant-based products subject to phytosanitary certification </t>
  </si>
  <si>
    <d:r xmlns:d="http://schemas.openxmlformats.org/spreadsheetml/2006/main">
      <d:rPr>
        <d:sz val="11"/>
        <d:rFont val="Calibri"/>
      </d:rPr>
      <d:t xml:space="preserve">https://www.agriculture.gov.au/sites/default/files/documents/plant-export-certification-factsheet.pdf</d:t>
    </d:r>
  </si>
  <si>
    <t>Proyecto de Resolución Directoral que actualiza los requisitos fitosanitarios para la importación de plantas in vitro de banano y/o plátano (Musa spp.) de origen y procedencia Israel, Costa Rica, Honduras, República Dominicana (Draft Directorial Resolution updating the phytosanitary requirements for the importation of in vitro plantain and/or banana (Musa spp.) plants originating in and coming from Costa Rica, the Dominican Republic, Honduras or Israel)</t>
  </si>
  <si>
    <t>The draft updating the phytosanitary requirements for the importation into Peru of in vitro plantain and/or banana (Musa spp.) plants originating in and coming from Costa Rica, the Dominican Republic, Honduras or Israel is being submitted for public consultation.</t>
  </si>
  <si>
    <t>In vitro plantain and/or banana (Musa spp.) plants (HS code: 060220)</t>
  </si>
  <si>
    <t>Costa Rica; Dominican Republic; Honduras; Israel</t>
  </si>
  <si>
    <d:r xmlns:d="http://schemas.openxmlformats.org/spreadsheetml/2006/main">
      <d:rPr>
        <d:sz val="11"/>
        <d:rFont val="Calibri"/>
      </d:rPr>
      <d:t xml:space="preserve">https://members.wto.org/crnattachments/2024/SPS/PER/24_05161_00_s.pdf
El texto lo puede descargar de la página web del SENASA
 cuya ruta es la siguiente: 
http://www.senasa.gob.pe/senasa/consulta-publica/ (disponible en español)
</d:t>
    </d:r>
  </si>
  <si>
    <t>Burundi, Kenya, Rwanda, Tanzania and Uganda would like to inform WTO Members that the Draft East African Standard; DEAS 66-2: 2023, Tomato products — Specification — Part 2: Tomato sauce and ketchup, First Edition, notified in G/TBT/N/BDI/388, G/TBT/N/KEN/1468, G/TBT/N/RWA/900, G/TBT/N/TZA/1002, G/TBT/N/UGA/1807 was adopted by the East African Community Council of Ministers on 14 jUNE 2024 as EAS 66-2: 2023, Tomato products — Specification — Part 2: Tomato sauce and ketchup, First Edition</t>
  </si>
  <si>
    <t xml:space="preserve">Allocation of Spectrum for Non-Federal Space Launch Operations; 
Federal Earth Stations Communicating With Non-Federal Fixed Satellite 
Service Space Stations; and Federal Space Station Use of the 399.9-
400.05 MHz Band</t>
  </si>
  <si>
    <t xml:space="preserve">In this document, the Federal Communications Commission (Commission) adopts a new secondary allocation in the 2025-2110 MHz band for non-Federal space operations, removes the restriction on use of the 2200-2290 MHz secondary non-Federal space operation allocation to four specific sub-channels to make the entire 2200-2290 MHz band available, adds a non-Federal secondary mobile allocation to the 2200- 2290 MHz band, and adopts licensing and technical rules for space launch operations. Additionally, the Commission amends the allocation for the 399.9-400.05 MHz band to permit the deployment of Federal space stations.Effective 4 September 2024, except for amendatory instructions 10 through 13 (adding Sec. Sec.  26.106, 26.108, 26.202, and 26.301, respectively), which are delayed indefinitely. The Commission will publish a document in the Federal Register announcing the effective date.    Incorporation by reference: The incorporation by reference of certain material listed herein is approved by the Director of the Federal Register as of 4 September 2024.89 Federal Register (FR) 63296, Title 47 Code of Federal Regulations (CFR) Parts 012, and 26:_x000D_
https://www.govinfo.gov/content/pkg/FR-2024-08-05/html/2024-16638.htm_x000D_
https://www.govinfo.gov/content/pkg/FR-2024-08-05/pdf/2024-16638.pdfhttps://docs.fcc.gov/public/attachments/FCC-23-76A1.pdf_x000D_
This final rule and the proposed rule notified as G/TBT/N/USA/2096 are identified by ET Docket No. 13-115 and RM-11341FCC 23-76. Documents are also accessible from the FCC's Electronic Document Management System (EDOCS) by searching the Docket Number. The full text of this final rule is available from the Commission's website at https://docs.fcc.gov/public/attachments/FCC-23-76A1.pdf. Filings and proceedings are available from the FCC’s Electronic Comment Filing System at https://www.fcc.gov/ecfs/search/search-filings/results?q=(proceedings.name:(%2213-115%22))</t>
  </si>
  <si>
    <t>33.060 - Radiocommunications; 33.070 - Mobile services; 33.100.10 - Emission; 49.020 - Aircraft and space vehicles in general; 49.090 - On-board equipment and instruments; 33.060 - Radiocommunications; 33.070 - Mobile services; 33.100.10 - Emission; 49.020 - Aircraft and space vehicles in general; 49.090 - On-board equipment and instruments</t>
  </si>
  <si>
    <d:r xmlns:d="http://schemas.openxmlformats.org/spreadsheetml/2006/main">
      <d:rPr>
        <d:sz val="11"/>
        <d:rFont val="Calibri"/>
      </d:rPr>
      <d:t xml:space="preserve">https://members.wto.org/crnattachments/2024/TBT/USA/final_measure/24_05023_00_e.pdf
https://members.wto.org/crnattachments/2024/TBT/USA/final_measure/24_05023_01_e.pdf</d:t>
    </d:r>
  </si>
  <si>
    <t>Established Maximum Residue Limits: Trifloxystrobin</t>
  </si>
  <si>
    <t>The proposed maximum residue limit (PMRL) document for trifloxystrobin notified in G/SPS/N/CAN/1551 (dated 14 May 2024) was adopted 5 August 2024. The proposed MRLs were established via entry into the Maximum Residue Limits Database and are provided directly below:MRL (ppm)1Raw Agricultural Commodity (RAC) and/or Processed Commodity0.06             Dry crowder peas, dry field beans21 ppm = parts per million2 MRLs of 0.06 ppm in/on the remaining commodities in crop subgroup 6C (Dried shelled pea and bean (except soybean)) are already established.MRLs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</si>
  <si>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trifloxystrobin in or on dry crowder peas and dry field beans (ICS codes: 65.020, 65.100, 67.040, 67.060)</t>
  </si>
  <si>
    <t>Established Maximum Residue Limits: Fluopyram</t>
  </si>
  <si>
    <t>The proposed maximum residue limit (PMRL) document for fluopyram notified in G/SPS/N/CAN/1550 (dated 14 May 2024) was adopted 5 August 2024. The proposed MRLs were established via entry into the Maximum Residue Limits Database and are provided directly below:MRL (ppm)1 Raw Agricultural Commodity (RAC) and/or Processed Commodity0.7              Dry crowder peas, dry field beans21 ppm = parts per million2 MRLs of 0.7 ppm in/on the remaining commodities in crop subgroup 6C (Dried shelled pea and bean (except soybean)) are already established.MRLs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</si>
  <si>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fluopyram in or on dry crowder peas and dry field beans (ICS codes: 65.020, 65.100, 67.040, 67.060)  </t>
  </si>
  <si>
    <t>Maximum residue limits (MRLs); Food safety; Human health; Adoption/publication/entry into force of reg.; Maximum residue limits (MRLs); Human health; Food safety</t>
  </si>
  <si>
    <t>Designation of Shitei Yakubutsu (designated substances), based on the Act on Securing Quality, Efficacy and Safety of Products Including Pharmaceuticals and Medical Devices (hereinafter referred to as the Act). (1960, Law No.145)</t>
  </si>
  <si>
    <t>Proposal for the additional designation of 6 substances as Shitei Yakubutsu, and their proper uses under the Act.　</t>
  </si>
  <si>
    <t>Substances with probable effects on the central nervous system</t>
  </si>
  <si>
    <d:r xmlns:d="http://schemas.openxmlformats.org/spreadsheetml/2006/main">
      <d:rPr>
        <d:sz val="11"/>
        <d:rFont val="Calibri"/>
      </d:rPr>
      <d:t xml:space="preserve">https://members.wto.org/crnattachments/2024/TBT/JPN/24_05047_00_e.pdf</d:t>
    </d:r>
  </si>
  <si>
    <t>Resolución No. 00009749 del 1 de agosto 2024 "Por medio de la cual se establecen los requisitos fitosanitarios para la importación a Colombia de semillas de lengua de vaca (Rumex crispus L.) de origen y procedencia de Israel" (Resolution No. 00009749 of 1 August 2024 establishing phytosanitary requirements for the importation into Colombia of curly dock (Rumex crispus L.) seeds originating in and coming from Israel) The Republic of Colombia hereby advises that it has issued Resolution No. 00009749 of 1 August 2024 establishing phytosanitary requirements for the importation into Colombia of curly dock (Rumex crispus L.) seeds originating in and coming from Israel, which was published in Official Journal No. 52.835 of 1 August 2024 and entered into force the same day. https://www.ica.gov.co/getattachment/714ef753-42b6-477f-8bd9-238e6448d3aa/2024R00009749.aspx https://members.wto.org/crnattachments/2024/SPS/COL/24_05037_00_s.pdf</t>
  </si>
  <si>
    <t>Semillas de lengua de vaca (Rumex crispus L.)</t>
  </si>
  <si>
    <t>06 - LIVE TREES AND OTHER PLANTS; BULBS, ROOTS AND THE LIKE; CUT FLOWERS AND ORNAMENTAL FOLIAGE; 06 - LIVE TREES AND OTHER PLANTS; BULBS, ROOTS AND THE LIKE; CUT FLOWERS AND ORNAMENTAL FOLIAGE</t>
  </si>
  <si>
    <t>Plant health; Adoption/publication/entry into force of reg.; Plant health</t>
  </si>
  <si>
    <d:r xmlns:d="http://schemas.openxmlformats.org/spreadsheetml/2006/main">
      <d:rPr>
        <d:sz val="11"/>
        <d:rFont val="Calibri"/>
      </d:rPr>
      <d:t xml:space="preserve">https://members.wto.org/crnattachments/2024/SPS/COL/24_05037_00_s.pdf
https://www.ica.gov.co/getattachment/714ef753-42b6-477f-8bd9-238e6448d3aa/2024R00009749.aspx</d:t>
    </d:r>
  </si>
  <si>
    <t>Resolución No. 00009748 del 1 de agosto 2024 "Por medio de la cual se establecen los requisitos fitosanitarios para la importación a Colombia de hojas secas en horno de sen (Cassia angustifolia) de origen y procedencia India" (Resolution No. 00009748 of 1 August 2024 establishing the phytosanitary requirements for the importation into Colombia of oven-dried senna (Cassia angustifolia) leaves originating in and coming from India) The Republic of Colombia hereby advises that it has issued Colombian Agricultural Institute (ICA) Resolution No. 00009748 of 1 August 2024 establishing the phytosanitary requirements for the importation into Colombia of oven-dried senna (Cassia angustifolia) leaves originating in and coming from India, which was published in Official Journal No. 52.835 of 1 August 2024 and entered into force the same day. https://www.ica.gov.co/getattachment/8abfdf51-e165-4c7d-9ffe-f33b73a98878/2024R00009748.aspx https://members.wto.org/crnattachments/2024/SPS/COL/24_05034_00_s.pdf</t>
  </si>
  <si>
    <t>Hojas secas en horno de sen (Cassia angustifolia</t>
  </si>
  <si>
    <t>0604 - Foliage, branches and other parts of plants, without flowers or flower buds, and grasses, mosses and lichens, of a kind suitable for bouquets or for ornamental purposes, fresh, dried, dyed, bleached, impregnated or otherwise prepared; 0604 - Foliage, branches and other parts of plants, without flowers or flower buds, and grasses, mosses and lichens, of a kind suitable for bouquets or for ornamental purposes, fresh, dried, dyed, bleached, impregnated or otherwise prepared</t>
  </si>
  <si>
    <t>Adoption/publication/entry into force of reg.; Plant health; Territory protection; Plant health; Territory protection</t>
  </si>
  <si>
    <d:r xmlns:d="http://schemas.openxmlformats.org/spreadsheetml/2006/main">
      <d:rPr>
        <d:sz val="11"/>
        <d:rFont val="Calibri"/>
      </d:rPr>
      <d:t xml:space="preserve">https://members.wto.org/crnattachments/2024/SPS/COL/24_05034_00_s.pdf
https://www.ica.gov.co/getattachment/8abfdf51-e165-4c7d-9ffe-f33b73a98878/2024R00009748.aspx</d:t>
    </d:r>
  </si>
  <si>
    <t>Draft Resolution 1248, 25 April 2024</t>
  </si>
  <si>
    <t>Draft Resolution 1248, 25 April 2024 - previously notified through  G/SPS/N/BRA/2300 - was adopted as Normative Instruction 307, 2 August 2024. The regulation proposes the inclusion of active ingredient A72 - Nonanoic Acid on the Monograph List of Active Ingredients for Pesticides, Household Cleaning Products and Wood Preservatives, which was published by Normative Instruction 103 on 19 October 2021 in the Brazilian Official Gazette (DOU - Diário Oficial da União). The final text is available only in Portuguese and can be downloaded at: </t>
  </si>
  <si>
    <t>Adoption/publication/entry into force of reg.; Human health; Food safety; Pesticides; Pesticides; Food safety; Human health</t>
  </si>
  <si>
    <d:r xmlns:d="http://schemas.openxmlformats.org/spreadsheetml/2006/main">
      <d:rPr>
        <d:sz val="11"/>
        <d:rFont val="Calibri"/>
      </d:rPr>
      <d:t xml:space="preserve">https://members.wto.org/crnattachments/2024/SPS/BRA/24_05039_00_x.pdf
https://antigo.anvisa.gov.br/documents/10181/6748122/%281%29IN_307_2024_.pdf/030b81a9-e8ec-4f62-be15-20bef0900b6c</d:t>
    </d:r>
  </si>
  <si>
    <t>Resolución No. 00009750 del 1 de agosto 2024 "Por medio de la cual se establecen los requisitos fitosanitarios para la importación a Colombia de productos artesanales elaborados con fibras de Typha spp. de origen y procedencia India" (Resolution No. 00009750 of 1 August 2024 establishing phytosanitary requirements for the importation into Colombia of handicrafts made from cattail (Typha spp.) fibres originating in and coming from India) The Republic of Colombia hereby advises that it has issued Colombian Agricultural Institute (ICA) Resolution No. 00009750 of 1 August 2024 establishing phytosanitary requirements for the importation into Colombia of handicrafts made from cattail (Typha spp.) fibres originating in and coming from India, which was published in Official Journal No. 52.835 of 1 August 2024 and entered into force the same day. https://www.ica.gov.co/getattachment/effbb003-84b2-4f21-9b32-74fa92669c29/2024R00009750.aspx https://members.wto.org/crnattachments/2024/SPS/COL/24_05038_00_s.pdf</t>
  </si>
  <si>
    <t>Productos artesanales elaborados con fibras de Typha spp.</t>
  </si>
  <si>
    <t>53 - OTHER VEGETABLE TEXTILE FIBRES; PAPER YARN AND WOVEN FABRICS OF PAPER YARN; 53 - OTHER VEGETABLE TEXTILE FIBRES; PAPER YARN AND WOVEN FABRICS OF PAPER YARN</t>
  </si>
  <si>
    <t>Protect territory from other damage from pests (SPS)</t>
  </si>
  <si>
    <t>Territory protection; Adoption/publication/entry into force of reg.; Territory protection</t>
  </si>
  <si>
    <d:r xmlns:d="http://schemas.openxmlformats.org/spreadsheetml/2006/main">
      <d:rPr>
        <d:sz val="11"/>
        <d:rFont val="Calibri"/>
      </d:rPr>
      <d:t xml:space="preserve">https://members.wto.org/crnattachments/2024/SPS/COL/24_05038_00_s.pdf
https://www.ica.gov.co/getattachment/effbb003-84b2-4f21-9b32-74fa92669c29/2024R00009750.aspx</d:t>
    </d:r>
  </si>
  <si>
    <t>Proposed establishment of the “Enforcement Dcree of the Digital Medical Products Act” and the “Enforcement Rule of the Digital Medical Products Act”</t>
  </si>
  <si>
    <t xml:space="preserve">_x000D_
The purpose of this Decree is to prescribe matters mandated by the Digital Medical Products Act for its enactment and enforcement. The matters are as follows:_x000D_
A. details necessary for establishment and implementation of a comprehensive plan for digital medical products_x000D_
B. media and methods of advertising digital medical device software for professionals_x000D_
C. facility standards for medicines combined with digital technology_x000D_
D. procedures and methods for designating institutions for fostering professional human resources, centers for regulatory support, and agencies for certification_x000D_
E. other matters_x000D_
The purpose of this Rule is to prescribe matters mandated by the Digital Medical Products Act and the Enforcement Decree of that Act for its enactment and enforcement. The details are as follows:_x000D_
A. the scope of and classification standards for digital technology_x000D_
B. permission (certification and reporting) considering the characteristics of digital medical devices_x000D_
C. clinical trials (clinical performance tests)_x000D_
D. standards for quality control _x000D_
E. labeling, follow-up management methods and procedures_x000D_
F. certification of excellent management systems_x000D_
G. manufacturing and import of medicines combined with digital technology_x000D_
H. impact assessment for supporting the development of digital medical products_x000D_
I. other metters</t>
  </si>
  <si>
    <t>Digital Medical Products</t>
  </si>
  <si>
    <d:r xmlns:d="http://schemas.openxmlformats.org/spreadsheetml/2006/main">
      <d:rPr>
        <d:sz val="11"/>
        <d:rFont val="Calibri"/>
      </d:rPr>
      <d:t xml:space="preserve">https://members.wto.org/crnattachments/2024/TBT/KOR/24_05046_00_x.pdf</d:t>
    </d:r>
  </si>
  <si>
    <t>Draft Commission Regulation (EU) …/…of XXX amending Directive 2002/46/EC of the European Parliament and of the Council as regards calcidiol monohydrate used in the manufacture of food supplements</t>
  </si>
  <si>
    <t>This draft Commission Regulation concerns the authorisation of the addition of calcidiol monohydrate, as a source of vitamin D to food supplements, in line with EFSA's relevant scientific opinion.   </t>
  </si>
  <si>
    <t>Food supplements</t>
  </si>
  <si>
    <d:r xmlns:d="http://schemas.openxmlformats.org/spreadsheetml/2006/main">
      <d:rPr>
        <d:sz val="11"/>
        <d:rFont val="Calibri"/>
      </d:rPr>
      <d:t xml:space="preserve">https://members.wto.org/crnattachments/2024/TBT/EEC/24_05044_00_e.pdf
https://members.wto.org/crnattachments/2024/TBT/EEC/24_05044_01_e.pdf</d:t>
    </d:r>
  </si>
  <si>
    <t>Pre-announcement of partial amendment to Enforcement Regulation of Distant Water Fisheries Development Act</t>
  </si>
  <si>
    <t xml:space="preserve">Add some fields to Catch Certificate and Simplified Catch Certificate to help identify fish’s engagement of illegal fishing and trace fish through all stages of the supply chain as follows: _x000D_
- Catch Certificate: IMO number &amp; IRCS (for fishing vessel and receiving vessel), Type of products, Name of landing port, Place of processing_x000D_
- Simplified Catch Certificate: Area of fishing, Transshipment position, Importer name and contact details_x000D_
Modify names of some fields (both Korean and English) for more detailed and clarified data required as follows: _x000D_
-  Catch Certificate: modify fields of “Weight” to “Weight/processed weight”; “Name/position” to “Officer’s name/position” (in the section of Validation by the competent authority) _x000D_
- Simplified Catch Certificate: modify fields of “Name/position” to “Officer’s name/position” (in the section of Validation by the competent authority) </t>
  </si>
  <si>
    <t xml:space="preserve">Bobo Croaker (HS:030389)_x000D_
Longneck Croaker (HS:030389)_x000D_
Saury (HS:030249, 030359)_x000D_
* Apply to whole frozen fish with noticeably original shape (categorized as HS 0303); and fresh fish (categorized as HS 0302) </t>
  </si>
  <si>
    <t>030389 - Frozen fish, n.e.s.; 030359 - Frozen anchovies "Engraulis spp.", Indian mackerels "Rastrelliger spp.", seerfishes "Scomberomorus spp.", jacks, crevalles "Caranx spp.", silver pomfrets "Pampus spp.", Pacific saury "Cololabis saira", scads "Decapterus spp.", capelin "Mallotus villosus", Kawakawa "Euthynnus affinis", bonitos "Sarda spp.", marlins, sailfishes and spearfish "Istiophoridae"; 0303 - Frozen fish (excl. fish fillets and other fish meat of heading 0304); 030249 - Fresh or chilled Indian mackerels "Rastrelliger spp.", seerfishes "Scomberomorus spp.", jacks, crevalles "Caranx spp.", silver pomfrets "Pampus spp.", Pacific saury "Cololabis saira", scads "Decapterus spp.", capelin "Mallotus villosus", Kawakawa "Euthynnus affinis", bonitos "Sarda spp.", marlins, sailfishes and spearfish "Istiophoridae"; 0302 - Fish, fresh or chilled (excl. fish fillets and other fish meat of heading 0304)</t>
  </si>
  <si>
    <t>Prevention of deceptive practices and consumer protection (TBT); Harmonization (TBT)</t>
  </si>
  <si>
    <d:r xmlns:d="http://schemas.openxmlformats.org/spreadsheetml/2006/main">
      <d:rPr>
        <d:sz val="11"/>
        <d:rFont val="Calibri"/>
      </d:rPr>
      <d:t xml:space="preserve">https://members.wto.org/crnattachments/2024/TBT/KOR/24_05045_00_x.pdf</d:t>
    </d:r>
  </si>
  <si>
    <t>Products Containing Perfluoroalkyl and Polyfluoroalkyl Substances (PFAS)</t>
  </si>
  <si>
    <t>Maine’s PFAS in Products Program’s governing statute was recently amended by Public Law 2023, c. 630, an Act to Support Manufacturers Whose Products Contain Perfluoroalkyl and Polyfluoroalkyl Substances (LD 1537, 131st Legislature, effective 9 August 2024).The recent legislation eliminates the general notification requirement that was previously scheduled to take effect 1 January 2025. This legislation also created several new sales prohibitions for products with intentionally added PFAS with varying effective dates, created some specific exemptions to the prohibitions, and established a new reporting program for those product categories that receive a Currently Unavoidable Use (CUU) determination from the Department.  After this initial, informal outreach process (ending 30 August 2024), Maine’s Department of Environmental Protection (DEP) plans to proceed with rulemaking this fall. There will be an opportunity for public comment on a proposed draft rule during the rulemaking process. To keep informed about the rulemaking process, sign up for email notices or visit the Department’s rulemaking page at https://www.maine.gov/dep/rules/The Perfluoroalkyl and Polyfluoroalkyl Substances (PFAS) in Products Program has developed new concept draft language to implement the recently amended Title 38, section 1614. The concept draft language is now available for an informal outreach process until 30 August 2024.   Interested WTO Members and their stakeholders are asked to submit comments to the USA TBT Enquiry Point by 4pmEastern Time on 30 August 2024.  Further information, including a chart listing “Sales Prohibitions on Products Containing Intentionally Added PFAS” and Product Categories Exempt from the Sales Prohibition, is accessible from DEP at https://www.maine.gov/dep/spills/topics/pfas/PFAS-products/index.html</t>
  </si>
  <si>
    <t>Products containing perfluoroalkyl and polyfluoroalkyl substances; Environmental protection (ICS code(s): 13.020); Domestic safety (ICS code(s): 13.120); Packaging materials and accessories (ICS code(s): 55.040); Products of the textile industry (ICS code(s): 59.080); Materials and articles in contact with foodstuffs (ICS code(s): 67.250); Production in the chemical industry (ICS code(s): 71.020); Products of the chemical industry (ICS code(s): 71.100); Plastics (ICS code(s): 83.080); Furniture (ICS code(s): 97.140); Home textiles. Linen (ICS code(s): 97.160); Miscellaneous domestic and commercial equipment (ICS code(s): 97.180)“Product” means an item manufactured, assembled, packaged, or otherwise prepared for sale to consumers, including its product components, that is sold or distributed for personal, residential, commercial, or industrial use, including for use in making other products. Product includes packages, packaging components, and food packaging as defined in 32 M.R.S. § 1732 (“Food package” means a package that is designed for direct food contact. “Food package” includes, but is not limited to, a food or beverage product that is contained in a food package or to which a food package is applied, a packaging component of a food package and plastic disposable gloves used in commercial or institutional food service) when sold individually or in bulk and not used in marketing, handling, or protecting a product).</t>
  </si>
  <si>
    <t>13.020 - Environmental protection; 13.020 - Environmental protection; 13.120 - Domestic safety; 13.120 - Domestic safety; 55.040 - Packaging materials and accessories; 55.040 - Packaging materials and accessories; 59.080 - Products of the textile industry; 59.080 - Products of the textile industry; 67.250 - Materials and articles in contact with foodstuffs; 67.250 - Materials and articles in contact with foodstuffs; 71.020 - Production in the chemical industry; 71.020 - Production in the chemical industry; 71.100 - Products of the chemical industry; 71.100 - Products of the chemical industry; 83.080 - Plastics; 83.080 - Plastics; 97.140 - Furniture; 97.140 - Furniture; 97.160 - Home textiles. Linen; 97.160 - Home textiles. Linen; 97.180 - Miscellaneous domestic and commercial equipment; 97.180 - Miscellaneous domestic and commercial equipment</t>
  </si>
  <si>
    <t>Consumer information, labelling (TBT); Prevention of deceptive practices and consumer protection (TBT); Protection of human health or safety (TBT); Protection of animal or plant life or health (TBT); Protection of the environment (TBT)</t>
  </si>
  <si>
    <d:r xmlns:d="http://schemas.openxmlformats.org/spreadsheetml/2006/main">
      <d:rPr>
        <d:sz val="11"/>
        <d:rFont val="Calibri"/>
      </d:rPr>
      <d:t xml:space="preserve">https://members.wto.org/crnattachments/2024/TBT/USA/24_05041_00_e.pdf</d:t>
    </d:r>
  </si>
  <si>
    <t>Importation of live garden snails (Cornu aspersum) for heliciculture: Draft Biosecurity Import Risk Review</t>
  </si>
  <si>
    <t>The Australian Government Department of Agriculture, Fisheries and Forestry has released the draft Biosecurity Import Risk Review for the Importation of live garden snails (Cornu aspersum) for heliciculture, for comment. The draft report assesses the risk of pathogenic agents associated with this species of garden snail. The draft report proposes that live garden snails can be permitted import into Australia, provided they comply with a range of biosecurity measures, including post-arrival quarantine. These measures are supported by risk assessments, meet Australia's international rights and obligations, and are necessary to protect the health of Australian plants and animals.The draft report can be accessed athttps://haveyoursay.agriculture.gov.auTrading partners are invited to provide comments on the draft report until 7 October 2024 (60-day comment period).The department will carefully consider all comments while preparing the final report.</t>
  </si>
  <si>
    <t>Live garden snails (Cornu aspersum) for heliciculture</t>
  </si>
  <si>
    <t>030760 - Snails, live, fresh, chilled, frozen, salted, dried or in brine, even smoked, with or without shell (excl. sea snails)</t>
  </si>
  <si>
    <d:r xmlns:d="http://schemas.openxmlformats.org/spreadsheetml/2006/main">
      <d:rPr>
        <d:sz val="11"/>
        <d:rFont val="Calibri"/>
      </d:rPr>
      <d:t xml:space="preserve">https://haveyoursay.agriculture.gov.au</d:t>
    </d:r>
  </si>
  <si>
    <t xml:space="preserve">2025 Energy Code Rulemaking Docket Log 24-BSTD-01:_x000D_
https://efiling.energy.ca.gov/Lists/DocketLog.aspx?docketnumber=24-BSTD-01Corrected Notice of Intent to Adopt a Negative Declaration clarifies that there have been no revisions to the Initial Study and Proposed Negative Declaration published on 29 March 2024, TN#255315-7, found at https://efiling.energy.ca.gov/GetDocument.aspx?tn=255315-7&amp;DocumentContentId=91001. No other changes have been made to the Notice of Intent to Adopt a Negative Declaration and, therefore, the public comment period will close on 29 August 2024, as originally noticed.  Interested WTO Members and their stakeholders are reminded to submit comments to the USA TBT Enquiry Point by 4pmEastern Time on 29 August 2024.  _x000D_
</t>
  </si>
  <si>
    <t>13.040 - Air quality; 13.040 - Air quality; 91.140 - Installations in buildings; 91.140 - Installations in buildings; 13.040 - Air quality; 27.015 - Energy efficiency. Energy conservation in general; 27.015 - Energy efficiency. Energy conservation in general; 27.015 - Energy efficiency. Energy conservation in general; 91.140 - Installations in buildings</t>
  </si>
  <si>
    <t>LAW ON PRODUCT SAFETY</t>
  </si>
  <si>
    <t>The provisions of the Law shall apply to all products, including products traded through electronic means, except for products whose competence is assigned to the Saudi Food and Drug Authority.</t>
  </si>
  <si>
    <t>Product Safety</t>
  </si>
  <si>
    <t>13 - Environment. Health protection. Safety</t>
  </si>
  <si>
    <d:r xmlns:d="http://schemas.openxmlformats.org/spreadsheetml/2006/main">
      <d:rPr>
        <d:sz val="11"/>
        <d:rFont val="Calibri"/>
      </d:rPr>
      <d:t xml:space="preserve">https://members.wto.org/crnattachments/2024/TBT/SAU/24_05028_00_x.pdf
www.saso.gov.sa 
</d:t>
    </d:r>
  </si>
  <si>
    <t>Resolución No.00009906 del 5 de agosto 2024 "Por la cual se establece una medida preventiva de emergencia por la presencia de la enfermedad de Newcastle en el Estado de Rio Grande do Sul de la República Federativa de Brasil" (Resolution No. 00009906 of 5 August 2024 establishing an emergency preventive measure owing to the presence of Newcastle disease in the State of Rio Grande do Sul in the Federative Republic of Brazil)</t>
  </si>
  <si>
    <t>The notified Resolution suspends the issuance of animal health documents for the importation of at-risk live birds, and products and by-products thereof, capable of transmitting Newcastle disease and coming from the State of Rio Grande do Sul in the Federative Republic of Brazil. The suspension will remain in place until a risk assessment has been conducted to determine whether to establish permanent measures, or to amend or lift the measures adopted in the notified Resolution.</t>
  </si>
  <si>
    <t>Animal health (SPS); Protect humans from animal/plant pest or disease (SPS); Protect territory from other damage from pests (SPS)</t>
  </si>
  <si>
    <t>Human health; Animal health; Territory protection; Animal diseases; Zoonoses</t>
  </si>
  <si>
    <d:r xmlns:d="http://schemas.openxmlformats.org/spreadsheetml/2006/main">
      <d:rPr>
        <d:sz val="11"/>
        <d:rFont val="Calibri"/>
      </d:rPr>
      <d:t xml:space="preserve">https://members.wto.org/crnattachments/2024/SPS/COL/24_05031_00_s.pdf
https://www.ica.gov.co/getattachment/3647c9da-7805-4693-8d30-4b1f1be9b5a7/2024R00009906.aspx</d:t>
    </d:r>
  </si>
  <si>
    <t>Morocco</t>
  </si>
  <si>
    <t>Projet d'arrêté du ministre de l'agriculture, de la pêche maritime, du développement rural et des eaux et forêts relatif à l'inscription des additifs utilisés pour la fabrication des aliments pour animaux (Draft Order of the Minister of Agriculture, Marine Fisheries, Rural Development, Water Resources and Forestry on the registration of additives used for the manufacture of animal feed)</t>
  </si>
  <si>
    <t>Article 14 of Decree No. 2-23-557 of 14 May 2024 on the quality, safety and labelling of feed for food-producing animals provides that operators of establishments and enterprises in the animal feed sector shall only import or use for the manufacture of animal feed additives included on the list established in accordance with the regulations in force. The notified draft Order sets out provisions relating to: • the procedures for registering animal feed additives; • the documents to be included in the application dossier; • the processing times of the relevant ONSSA department; • the period of duration of the registration of additives; • the obligations of professionals.</t>
  </si>
  <si>
    <t>Additives used for the manufacture of animal feed</t>
  </si>
  <si>
    <t>Food safety; Animal health</t>
  </si>
  <si>
    <d:r xmlns:d="http://schemas.openxmlformats.org/spreadsheetml/2006/main">
      <d:rPr>
        <d:sz val="11"/>
        <d:rFont val="Calibri"/>
      </d:rPr>
      <d:t xml:space="preserve">https://members.wto.org/crnattachments/2024/SPS/MAR/24_05035_00_f.pdf</d:t>
    </d:r>
  </si>
  <si>
    <t>Projet d'arrêté du ministère de l'agriculture, de la pêche maritime, du développement rural et des eaux et forêts fixant la liste des matières premières pouvant être utilisées en tant qu'aliment pour animaux ainsi que la liste des procédés permettant leur obtention (Draft Order of the Ministry of Agriculture, Marine Fisheries, Rural Development, Water Resources and Forestry establishing the list of raw materials that can be used as animal feed and the list of processes for obtaining them)</t>
  </si>
  <si>
    <t>The notified draft Order contributes to the implementation of Article 13 of Decree No. 2-23-557 of 14 May 2024 on the quality, safety and labelling of feed for food-producing animals. The notified draft Order establishes: 1. the list of raw materials that can be used as animal feed, including the names and descriptions thereof and, where applicable, the information required on labels other than that required under article 21 of the above-mentioned decree and the specific impurity content; 2. the list of processes for obtaining them, the descriptions thereof, and the characteristics of the raw materials obtained. As part of the streamlining of procedures, the notified text provides that the above list of raw materials shall be drawn up according to the model contained in Annex 1 of the notified draft Order and published on the website of the National Office for Food Safety (ONSSA). This Office is responsible for maintaining and updating the list. In addition, the notified draft Order repeals the Order of the Director of Agriculture, Trade and Forestry of 20 April 1948 on the sale of feed for livestock. G/SPS/N/MAR/107 - 2 -</t>
  </si>
  <si>
    <t>Raw materials that can be used as animal feed</t>
  </si>
  <si>
    <d:r xmlns:d="http://schemas.openxmlformats.org/spreadsheetml/2006/main">
      <d:rPr>
        <d:sz val="11"/>
        <d:rFont val="Calibri"/>
      </d:rPr>
      <d:t xml:space="preserve">https://members.wto.org/crnattachments/2024/SPS/MAR/24_05036_00_f.pdf
https://members.wto.org/crnattachments/2024/SPS/MAR/24_05036_00_x.pdf</d:t>
    </d:r>
  </si>
  <si>
    <t>Circular on promulgating the List of veterinary drugs authorized for marketing and the List of banned veterinary drugs in Viet Nam</t>
  </si>
  <si>
    <t>Draft Circular promulgates the List of veterinary drugs authorized for marketing and the List of banned veterinary drugs in Viet Nam, which replaces Circular No. 10/2016/TT-BNNPTNT dated 1 June 2016. The amendments are as follows:a) Appendix I: updates the List of veterinary drugs authorized for marketing in Viet Nam until now.b) Appendix II: amends the List of banned veterinary drugs in Viet Nam for aquatic and terrestrial animals:-  As in the List of banned veterinary drugs in Viet Nam in aquaculture:+  Changes "Nitrofuran (includes Furazolidone)" to "Nitrofuran and its metabolites (Furazolidone, Furaltadone, Nitrofurantoin, Nitrofurazone, Nifursol)+  Adds Leucomalachite Green.- As in the List of banned veterinary drugs in Viet Nam for terrestrial animals:+  Removes Ciprofloxacin+  Adds Leucomalachite Green+  Changes the active substance group "Furazolidon and derivatives of Nitrofuran (Nitrofuran, Furacillin, Nitrofurazon, Furacin, Nitrofurantoin, Furoxon, Orafuran, Furadonin, Furadantin, Furaltadon, Payzone, Furazolin, Nitrofurmethon, Nitrofuridin, Nitrovin)" to "Nitrofuran and its metabolites (Furazolidone, Furaltadone, Nitrofurantoin, Nitrofurazone, Nifursol)+ Removes alternative names of Chloramphenicol, Dimetridazole, Metronidazole and Dipterex.</t>
  </si>
  <si>
    <t>Veterinary drugs</t>
  </si>
  <si>
    <d:r xmlns:d="http://schemas.openxmlformats.org/spreadsheetml/2006/main">
      <d:rPr>
        <d:sz val="11"/>
        <d:rFont val="Calibri"/>
      </d:rPr>
      <d:t xml:space="preserve">https://members.wto.org/crnattachments/2024/SPS/VNM/24_05022_00_e.pdf
https://members.wto.org/crnattachments/2024/SPS/VNM/24_05022_00_x.pdf</d:t>
    </d:r>
  </si>
  <si>
    <t>Proyecto de Norma Oficial Mexicana PROY-NOM-240-SSA1-2024 Instalación y operación de la tecnovigilancia (Draft Mexican Official Standard PROY-NOM-240-SSA1-2024: Introduction and operation of technovigilance) (18 pages, in Spanish)</t>
  </si>
  <si>
    <t xml:space="preserve">• The purpose of technovigilance is to ensure that medical devices in use on the market in the national territory are safe, effective and perform according to the manufacturer's specifications, authorized by the Ministry of Health through the Federal Commission for Protection against Health Risks. • The purpose of draft Mexican Official Standard PROY-NOM-240 is to establish guidelines for the introduction and operation of technovigilance in order to guarantee the protection of patient health and the safety of medical devices in use in the national territory. • The notified draft Standard is binding throughout the national territory on federal and local government agencies and entities, natural or legal persons in the social and private sectors that are part of the National Health System, institutions and establishments where human health research is conducted, health professionals, patients and users, holders of sanitary registration certificates or their legal G/TBT/N/MEX/536 - 2 -   representatives in Mexico, manufacturers, distributors and marketers of medical devices and those involved in the medical device supply chain.</t>
  </si>
  <si>
    <t>Applicable to technovigilance that ensures that medical devices are safe, effective and perform according to the manufacturer's specifications.</t>
  </si>
  <si>
    <d:r xmlns:d="http://schemas.openxmlformats.org/spreadsheetml/2006/main">
      <d:rPr>
        <d:sz val="11"/>
        <d:rFont val="Calibri"/>
      </d:rPr>
      <d:t xml:space="preserve">https://members.wto.org/crnattachments/2024/TBT/MEX/24_04996_00_s.pdf
https://www.dof.gob.mx/nota_detalle.php?codigo=5734396&amp;fecha=24/07/2024#gsc.tab=0</d:t>
    </d:r>
  </si>
  <si>
    <t>Draft - Establishes the Phytosanitary Requirements for the Importation of Peony Rhizomes from any Origin</t>
  </si>
  <si>
    <t>The phytosanitary requirements for the importation of rhizomes (Category 4) of Peony (Paeonia spp.) from any origin are established.</t>
  </si>
  <si>
    <t>Peony (Paeonia spp.)</t>
  </si>
  <si>
    <d:r xmlns:d="http://schemas.openxmlformats.org/spreadsheetml/2006/main">
      <d:rPr>
        <d:sz val="11"/>
        <d:rFont val="Calibri"/>
      </d:rPr>
      <d:t xml:space="preserve">https://members.wto.org/crnattachments/2024/SPS/BRA/24_05012_00_e.pdf
https://members.wto.org/crnattachments/2024/SPS/BRA/24_05012_00_x.pdf</d:t>
    </d:r>
  </si>
  <si>
    <t>Food Products</t>
  </si>
  <si>
    <t>This addendum concerns the notification of the draft Egyptian Standard ES 2613-2 "Shelf life for food products Part: 2 Shelf Life " (18 pages in Arabic (partial amendment in 1 page, in Arabic)).It should be noted that the Ministerial Decree No. 100/2019 which was formerly notified in G/SPS/N/EGY/92/Add.1 dated 3 June 2020, the Ministerial Decree No. 653/2020 which was formerly notified in G/SPS/N/EGY/92/Add.2 dated 15 March 2021 and the Ministerial Decree No. 222/2021 which was formerly notified in G/SPS/N/EGY/92/Add.3 dated 20 September 2021, the Ministerial Decree No. 522/2021 which was formerly notified in G/SPS/N/EGY/92/Add.4 dated 18 March 2022, the Ministerial Decree No. 393/2022 which was formerly notified in G/SPS/N/EGY/92/Add.5 dated 25 August 2022, the Ministerial Decree No. 233/2023 which was formerly notified in G/SPS/N/EGY/92/Add.6 dated 21 July 2023, the Ministerial Decree No.361/2024 which was formerly notified in G/SPS/N/EGY/92/Add.7 dated 12 July 2024, mandated among others the earlier versions and amendments of this Standard.Worth mentioning is that this standard has been partially modified in tables (1), (2) and (3) as follows:The shelf life of plain and flavoured yogurt is 30 days instead of 15 days.The shelf life of beef and buffalo liver is 12 months instead of 7 months.The shelf life of frozen fish is 10 months instead of 6 months.Worth mentioning is that this standard has been formulated according to National Studies and its updates.Producers and importers are kept informed of any amendments in the Egyptian standards through the publication of administrative orders in the official gazette.</t>
  </si>
  <si>
    <t>Human health; Food safety; Modification of content/scope of regulation; Human health; Food safety</t>
  </si>
  <si>
    <t xml:space="preserve">Standards of Performance for New, Reconstructed, and Modified 
Sources and Emissions Guidelines for Existing Sources: Oil and Natural 
Gas Sector Climate Review: Correction</t>
  </si>
  <si>
    <t xml:space="preserve">The U.S. Environmental Protection Agency (EPA) is taking 
interim final action on technical corrections to three regulations 
recently finalized within "Standards of Performance for New, 
Reconstructed, and Modified Sources and Emissions Guidelines for 
Existing Sources: Oil and Natural Gas Sector Climate Review,"  (hereafter "final rule"), published 8 March 2024 (notified as G/TBT/N/USA/1802/Add.3). Following 
publication of the final rule, the EPA identified, through its own 
internal reassessment of the regulatory text, as well as through 
communications with stakeholders and the Office of Federal Register, 
erroneous cross-references and typographical errors within the 
regulatory text. Through those same processes, the EPA also identified 
the need for some minor wording changes to clarify erroneous language 
(or, in some cases, erroneous omissions) in the regulatory text and/or 
to ensure that the regulatory text aligns with the descriptions of the 
relevant provisions in the final rule preamble and other parts of the 
regulation(s). The corrections being made in this action are minor and 
non-substantive in nature and are being made to address inadvertent 
errors in the final rule. The EPA is requesting comments on all aspects 
of this interim final rule.&gt;
This rule is effective on 1 August 2024. Comments on this 
interim final rule must be received on or before 3 September 2024.89 Federal Register (FR) 62872, Title 40 Code of Federal Regulations (CFR) Part 60_x000D_
https://www.govinfo.gov/content/pkg/FR-2024-08-01/html/2024-13206.htm_x000D_
https://www.govinfo.gov/content/pkg/FR-2024-08-01/pdf/2024-13206.pdf_x000D_
This action and previous actions notified under the symbol G/TBT/N/USA/1802 are identified by Docket Number EPA-HQ-OAR-2021-0317. The Docket Folder is available on Regulations.gov at https://www.regulations.gov/docket/EPA-HQ-OAR-2021-0317/document and provides access to primary and supporting documents as well as comments received. Documents are also accessible from Regulations.gov by searching the Docket Number. WTO Members and their stakeholders are asked to submit comments to the USA TBT Enquiry Point. Comments received by the USA TBT Enquiry Point from WTO Members and their stakeholders by 4pmEastern Time on 3 September 2024 will be shared with the EPA and will also be submitted to the Docket on Regulations.gov if received within the comment period.</t>
  </si>
  <si>
    <t>Emissions of greenhouse gases and other harmful air pollutants</t>
  </si>
  <si>
    <t>13.020 - Environmental protection; 13.020 - Environmental protection; 13.020 - Environmental protection; 13.040 - Air quality; 13.040 - Air quality; 13.040 - Air quality; 75.020 - Extraction and processing of petroleum and natural gas; 75.020 - Extraction and processing of petroleum and natural gas; 75.020 - Extraction and processing of petroleum and natural gas</t>
  </si>
  <si>
    <d:r xmlns:d="http://schemas.openxmlformats.org/spreadsheetml/2006/main">
      <d:rPr>
        <d:sz val="11"/>
        <d:rFont val="Calibri"/>
      </d:rPr>
      <d:t xml:space="preserve">https://members.wto.org/crnattachments/2024/TBT/USA/24_04993_00_e.pdf</d:t>
    </d:r>
  </si>
  <si>
    <t>Technical Regulation for PP woven laminated sacks for packaging of 50 kg cement:  (NS 591 and NS 592).  </t>
  </si>
  <si>
    <t>This technical regulation prescribes that 50 kg of cement shall be packed in pp laminated sacks as per NS 591 or NS 592 for the production, storage, transportation, sales and distribution</t>
  </si>
  <si>
    <t>Sacks. Bags (ICS code(s): 55.080)</t>
  </si>
  <si>
    <t>55.080 - Sacks. Bags</t>
  </si>
  <si>
    <t>The Order of the Ministry of Health of Ukraine No. 992 "On Amendments to the Order of the Ministry of Health of Ukraine No. 55 of 2 February 2016" of 7 June 2024</t>
  </si>
  <si>
    <t>The Order approves the Amendments to the Hygienic norms and regulations for safe usage of pesticides and agrochemicals, approved by the Order of the Ministry of Health of Ukraine No. 55 of 2 February 2016 (as amended by the Order of the Ministry of Health of Ukraine No. 1276 of 28 May 2020).</t>
  </si>
  <si>
    <t>Pesticides and agrochemicals</t>
  </si>
  <si>
    <t>Food safety (SPS); Plant protection (SPS)</t>
  </si>
  <si>
    <t>Human health; Plant health; Food safety</t>
  </si>
  <si>
    <d:r xmlns:d="http://schemas.openxmlformats.org/spreadsheetml/2006/main">
      <d:rPr>
        <d:sz val="11"/>
        <d:rFont val="Calibri"/>
      </d:rPr>
      <d:t xml:space="preserve">https://members.wto.org/crnattachments/2024/SPS/UKR/24_05000_00_x.pdf
https://members.wto.org/crnattachments/2024/SPS/UKR/24_05000_01_x.pdf
https://zakon.rada.gov.ua/laws/show/z0940-24#Text</d:t>
    </d:r>
  </si>
  <si>
    <t>The Human Medicines (Amendments Relating to the Windsor Framework) Regulations 2024 </t>
  </si>
  <si>
    <t>These amendments will facilitate a UK wide system of licensing and regulation of human medicines, helping to secure the long-term supply of human medicinal products in Northern Ireland. </t>
  </si>
  <si>
    <t>Human Medicinal Products</t>
  </si>
  <si>
    <d:r xmlns:d="http://schemas.openxmlformats.org/spreadsheetml/2006/main">
      <d:rPr>
        <d:sz val="11"/>
        <d:rFont val="Calibri"/>
      </d:rPr>
      <d:t xml:space="preserve">https://www.legislation.gov.uk/uksi/2024/832/introduction/made
</d:t>
    </d:r>
  </si>
  <si>
    <t xml:space="preserve">The Oregon Department of Environmental Quality (DEQ) invites the public to submit comments on the proposed rules. The comment period closes at 4 p.m.Pacific Time) on 30 August 2024.WTO Members and their stakeholders are asked to submit comments to the USA TBT Enquiry Point.  Comments received by the USA TBT Enquiry Point from WTO Members and their stakeholders by 4pmEastern Time on 30 August 2024 will be shared with Oregon’s DEQ_x000D_
_x000D_
For more information, see the Notice of Proposed RulemakingDraft rules: Climate Protection Program, Division 273 (new rules)Draft rules: Divisions 12, 215, 216, 253, 273 (minor edits to existing rules)Worksheet: Community Climate Investment (CCI) Credit Contribution Amount ConsiderationsEmissions Data SpreadsheetDEQ plans to hold one public hearing. Anyone can attend a hearing by webinar or teleconference.Wednesday, 21 August 2024, 4 p.m.Pacific Time_x000D_
_x000D_
Join by Zoom_x000D_
_x000D_
Join by Phone:_x000D_
Call-in number: 888-475-4499 US Toll-free_x000D_
Meeting ID: 843 9807 4366Sign up for rulemaking updates here.  Contact CPP.2024@DEQ.oregon.go with queries.  DEQ will post additional information after this meeting takes place, including a meeting summary, for those unable to attend.</t>
  </si>
  <si>
    <d:r xmlns:d="http://schemas.openxmlformats.org/spreadsheetml/2006/main">
      <d:rPr>
        <d:sz val="11"/>
        <d:rFont val="Calibri"/>
      </d:rPr>
      <d:t xml:space="preserve">https://members.wto.org/crnattachments/2024/TBT/USA/modification/24_05013_00_e.pdf</d:t>
    </d:r>
  </si>
  <si>
    <t>Proyecto de Norma Oficial Mexicana PROY-NOM-220-SSA1-2024 instalación y operación de la Farmacovigilancia (Draft Mexican Official Standard PROY-NOM-220-SSA1-2024: Introduction and operation of pharmacovigilance) (24 pages, in Spanish)</t>
  </si>
  <si>
    <t>Purpose The notified draft Standard will establish guidelines for the introduction and operation of pharmacovigilance throughout the national territory. Scope The notified draft Standard will be binding throughout the national territory on federal and local government agencies and entities, and on natural or legal persons in the social and private sectors that are part of the National Health System, health professionals, institutions or establishments where health research is conducted or managed, holders of sanitary registration certificates or their legal representatives, storage and distribution warehouses, points of sale, caregivers, patients and consumers of medicines and vaccines.</t>
  </si>
  <si>
    <t>Applicable to pharmacovigilance to prevent and assess potential risks arising from the use of medicines and vaccines.</t>
  </si>
  <si>
    <d:r xmlns:d="http://schemas.openxmlformats.org/spreadsheetml/2006/main">
      <d:rPr>
        <d:sz val="11"/>
        <d:rFont val="Calibri"/>
      </d:rPr>
      <d:t xml:space="preserve">https://members.wto.org/crnattachments/2024/TBT/MEX/24_04995_00_s.pdf
https://www.dof.gob.mx/nota_detalle.php?codigo=5734460&amp;fecha=25/07/2024#gsc.tab=0</d:t>
    </d:r>
  </si>
  <si>
    <t>Updates to sanitary certificates for exports from Australia of fish and fish products</t>
  </si>
  <si>
    <t>Australia is replacing the current Export Documentation System (EXDOC) with a system called the Next Export Documentation System (NEXDOC). NEXDOC is designed to make Australia’s export documentation system more secure over time and responsive to changes in trade conditions.Australia’s export documentation for fish and fish products will soon transition to the department’s NEXDOC system. These goods are the next commodities to transition after dairy, which transitioned in 2021, honey and apiculture products in 2022 and eggs, in 2023. The planned changes do not affect the agreed conditions or attestations for market access, bilaterally agreed information about the consignment details, or the department’s regulatory controls over exports. However, there are minor changes to grammar, spelling, and the location of some of the information on the certificate. In addition, the new certificates will have unique Quick Response (QR) codes. The QR codes provide consignment specific information which border officials can use to confirm authenticity of the certificate in real-time. To verify the QR code, border officials scan the code through the official’s smart phone camera.The department proposes the new export certificates be issued for:Australian exports of fish and fish products.This will commence from 30 September 2024. There will be a transition period where both the old and new certificates will be in use to allow for transit time (air and sea freight) to the port of destination.  Australia is allowing a sixty days comment period.</t>
  </si>
  <si>
    <t>Fish and fish products</t>
  </si>
  <si>
    <d:r xmlns:d="http://schemas.openxmlformats.org/spreadsheetml/2006/main">
      <d:rPr>
        <d:sz val="11"/>
        <d:rFont val="Calibri"/>
      </d:rPr>
      <d:t xml:space="preserve">https://www.agriculture.gov.au/biosecurity-trade/export/certification/nexdoc/transition</d:t>
    </d:r>
  </si>
  <si>
    <t>The DLD order on temporary suspension of the importation or transit of live domestic pigs and wild pigs and their carcasses from the Philippines to prevent the spread of African Swine Fever</t>
  </si>
  <si>
    <t>According to the announcement of the Government Gazette dated 26 April 2024, the suspension for the importation or transit of live domestic pigs and wild pigs and their carcasses from the Philippines, has expired on 26 July 2024. However, the WOAH has reported a continued outbreak of African Swine Fever in the area of the Philippines. Therefore, it is necessary for Thailand to prevent the entry of African Swine Fever disease into the country. By the virtue of the Animal Epidemics Act B.E. 2558 (2015), the importation or transit of live domestic pigs and wild pigs and their carcasses from the Philippines is temporarily suspended for a period of 90 days after the date of publication in the Thai Royal Gazette.         </t>
  </si>
  <si>
    <t>Live domestic pigs and wild pigs and their carcasses</t>
  </si>
  <si>
    <t>020321 - Frozen carcases and half-carcases of swine; 020311 - Fresh or chilled carcases and half-carcases of swine; 0103 - Live swine</t>
  </si>
  <si>
    <t>Animal health; Animal diseases; African swine fever (ASF); Zoonoses</t>
  </si>
  <si>
    <d:r xmlns:d="http://schemas.openxmlformats.org/spreadsheetml/2006/main">
      <d:rPr>
        <d:sz val="11"/>
        <d:rFont val="Calibri"/>
      </d:rPr>
      <d:t xml:space="preserve">https://members.wto.org/crnattachments/2024/SPS/THA/24_04983_00_x.pdf</d:t>
    </d:r>
  </si>
  <si>
    <t>DARS 1830:2024,Compounded goat and sheep feed — Specification, First editionNote: This Draft African Standard was also notified under SPS committee</t>
  </si>
  <si>
    <t>This Draft African standard specifies the requirements, methods of sampling and test for compounded goat and sheep feeds.</t>
  </si>
  <si>
    <t>RESIDUES AND WASTE FROM THE FOOD INDUSTRIES; PREPARED ANIMAL FODDER (HS code(s): 23); Agriculture (ICS code(s): 65)</t>
  </si>
  <si>
    <t>23 - RESIDUES AND WASTE FROM THE FOOD INDUSTRIES; PREPARED ANIMAL FODDER</t>
  </si>
  <si>
    <t>65 - Agriculture</t>
  </si>
  <si>
    <d:r xmlns:d="http://schemas.openxmlformats.org/spreadsheetml/2006/main">
      <d:rPr>
        <d:sz val="11"/>
        <d:rFont val="Calibri"/>
      </d:rPr>
      <d:t xml:space="preserve">https://members.wto.org/crnattachments/2024/TBT/TZA/24_04980_00_e.pdf</d:t>
    </d:r>
  </si>
  <si>
    <t>DARS 2139:2024, Code of practice on good animal feeding-specification,First Edition.</t>
  </si>
  <si>
    <t xml:space="preserve">This Draft African Standard gives code of practice aimed at ensuring the safety of food for human consumption through adherence to good animal feeding practice at the farm level and good_x000D_
manufacturing practices (GMPs) during the procurement, handling, storage, processing and distribution of animal feed and feed ingredients for food producing animals._x000D_
This standard applies to the production and use of all materials destined for animal feed and feed ingredients at all levels whether produced industrially or on farm. It also includes grazing or free-range_x000D_
feeding, forage crop production and aquaculture.Note: This Draft Tanzania Standard was also notified under SPS committee</t>
  </si>
  <si>
    <d:r xmlns:d="http://schemas.openxmlformats.org/spreadsheetml/2006/main">
      <d:rPr>
        <d:sz val="11"/>
        <d:rFont val="Calibri"/>
      </d:rPr>
      <d:t xml:space="preserve">https://members.wto.org/crnattachments/2024/TBT/TZA/24_04979_00_e.pdf</d:t>
    </d:r>
  </si>
  <si>
    <t>The DLD order on temporary suspension of the importation or transit of live domestic pigs and wild pigs and their carcasses from Indonesia to prevent the spread of African Swine Fever</t>
  </si>
  <si>
    <t>According to the announcement of the Government Gazette dated 26 April 2024, the suspension for the importation or transit of live domestic pigs and wild pigs and their carcasses from Indonesia, has expired on 26 July 2024. However, the WOAH has reported a continued outbreak of African Swine Fever in the area of Indonesia. Therefore, it is necessary for Thailand to prevent the entry of African Swine Fever disease into the country. By the virtue of the Animal Epidemics Act B.E. 2558 (2015), the importation or transit of live domestic pigs and wild pigs and their carcasses from Indonesia is temporarily suspended for a period of 90 days after the date of publication in the Thai Royal Gazette.  </t>
  </si>
  <si>
    <t>Animal diseases; Animal health; African swine fever (ASF); Zoonoses</t>
  </si>
  <si>
    <d:r xmlns:d="http://schemas.openxmlformats.org/spreadsheetml/2006/main">
      <d:rPr>
        <d:sz val="11"/>
        <d:rFont val="Calibri"/>
      </d:rPr>
      <d:t xml:space="preserve">https://members.wto.org/crnattachments/2024/SPS/THA/24_04985_00_x.pdf</d:t>
    </d:r>
  </si>
  <si>
    <t>DARS 1825-1:2014,Hay as animal feed — Part 1: Rhodes and natural grass hay — Specification, First Edition. </t>
  </si>
  <si>
    <t>This Draft African Standard specifies the requirements, sampling and test methods for Rhodes and natural grass hay used as animal feed.Note: This Draft African Standard was also notified under SPS committee</t>
  </si>
  <si>
    <t>Consumer information, labelling (TBT); Prevention of deceptive practices and consumer protection (TBT); Protection of animal or plant life or health (TBT); Quality requirements (TBT); Harmonization (TBT); Reducing trade barriers and facilitating trade (TBT); Cost saving and productivity enhancement (TBT)</t>
  </si>
  <si>
    <d:r xmlns:d="http://schemas.openxmlformats.org/spreadsheetml/2006/main">
      <d:rPr>
        <d:sz val="11"/>
        <d:rFont val="Calibri"/>
      </d:rPr>
      <d:t xml:space="preserve">https://members.wto.org/crnattachments/2024/TBT/TZA/24_04976_00_e.pdf</d:t>
    </d:r>
  </si>
  <si>
    <t>DARS 1825-2:2024,Hay as animal feed — Part 2: Alfalfa (Lucerne) hay — Specification, First edition.</t>
  </si>
  <si>
    <t>This Draft African Standard specifies the requirements, sampling and test methods for alfalfa (lucerne) hay used as animal feed. Note: This Draft Tanzania Standard was also notified under SPS committee</t>
  </si>
  <si>
    <t>Consumer information, labelling (TBT); Prevention of deceptive practices and consumer protection (TBT); Protection of human health or safety (TBT); Protection of animal or plant life or health (TBT); Quality requirements (TBT); Harmonization (TBT); Reducing trade barriers and facilitating trade (TBT); Cost saving and productivity enhancement (TBT)</t>
  </si>
  <si>
    <d:r xmlns:d="http://schemas.openxmlformats.org/spreadsheetml/2006/main">
      <d:rPr>
        <d:sz val="11"/>
        <d:rFont val="Calibri"/>
      </d:rPr>
      <d:t xml:space="preserve">https://members.wto.org/crnattachments/2024/TBT/TZA/24_04977_00_e.pdf</d:t>
    </d:r>
  </si>
  <si>
    <t>Draft Law "On Animal Health"</t>
  </si>
  <si>
    <t>This law defines the rules for the prevention and control of animal diseases that are transmissible to animals or humans.This law aims to determine:(a) the organization according to the priorities of the classification of diseases and the definition of responsibilities in the field of animal health (Part I: Articles 1 to 17);(b) timely detection, notification and reporting of diseases, surveillance, eradication programs and disease-free status (Part II: Articles 18 to 42);(c) awareness, preparation and disease control (Part III: Articles 43 to 83);(d) registration and approval of establishments and transporters, movements and traceability of animals, reproductive material and products of animal origin within the territory of Albania (Part IV: Articles 84 to 228; and Part VI: Articles 244 to 248 and 251 to 255);(e) the entry of animals, reproductive material and products of animal origin into Albania and their export from Albania (Part V: Articles 229 to 243; and Part VI: Articles 244 to 246 and 251 to 255);(f) movements for non-commercial purposes of companion animals entering or leaving the country, from another country or its territory (Part VI: Articles 244 to 255);(g) emergency measures to be taken in the event of an emergency situation relating to a disease (Part VII: Articles 256 to 261).Draft Law “On Animal Health Law” is approximated with Regulation (EU) 2016/429 of the European Parliament and of the Council of 9 March 2016 on transmissible animal diseases and amending and repealing certain acts in the area of animal health (‘Animal Health Law’).</t>
  </si>
  <si>
    <t>Live animals</t>
  </si>
  <si>
    <t>01 - LIVE ANIMALS</t>
  </si>
  <si>
    <t>Human health; Animal health; Animal diseases; Zoonoses</t>
  </si>
  <si>
    <d:r xmlns:d="http://schemas.openxmlformats.org/spreadsheetml/2006/main">
      <d:rPr>
        <d:sz val="11"/>
        <d:rFont val="Calibri"/>
      </d:rPr>
      <d:t xml:space="preserve">https://members.wto.org/crnattachments/2024/SPS/ALB/24_04975_00_x.pdf</d:t>
    </d:r>
  </si>
  <si>
    <t>DARS 1844:2024,Dried insect products for compounded animal feeds — Specification,First Edition.</t>
  </si>
  <si>
    <t>This Draft African Standard specifies the requirements, sampling, and test methods for dried insect products as animal feed ingredient.Note: This Draft Tanzania Standard was also notified under SPS committee</t>
  </si>
  <si>
    <d:r xmlns:d="http://schemas.openxmlformats.org/spreadsheetml/2006/main">
      <d:rPr>
        <d:sz val="11"/>
        <d:rFont val="Calibri"/>
      </d:rPr>
      <d:t xml:space="preserve">https://members.wto.org/crnattachments/2024/TBT/TZA/24_04978_00_e.pdf</d:t>
    </d:r>
  </si>
  <si>
    <t>The DLD order on temporary suspension of importation or transit of live poultry and poultry carcasses from Indiato prevent the spread of Highly Pathogenic Avian Influenza (Subtype H5N1)</t>
  </si>
  <si>
    <t>According to the announcement of the Government Gazette dated 26 April 2024, the suspension for the importation or transit of live poultry and poultry carcasses from India, has expired on 26 July 2024. However, the WOAH has reported a continued outbreak of Highly Pathogenic Avian Influenza (HPAI) in the area of India. Therefore it is necessary for Thailand to prevent the entry of Highly Pathogenic Avian Influenza (HPAI) disease into the country. By the virtue of Animal Epidemics Act B.E. 2558 (2015), the importation or transit of live poultry and poultry carcasses from India is temporarily suspended for a period of 90 days after date of publication in the Thai Royal Gazette.</t>
  </si>
  <si>
    <t>Live poultry and poultry carcasses</t>
  </si>
  <si>
    <t>Animal health; Animal diseases; Zoonoses; Avian Influenza</t>
  </si>
  <si>
    <d:r xmlns:d="http://schemas.openxmlformats.org/spreadsheetml/2006/main">
      <d:rPr>
        <d:sz val="11"/>
        <d:rFont val="Calibri"/>
      </d:rPr>
      <d:t xml:space="preserve">https://members.wto.org/crnattachments/2024/SPS/THA/24_04990_00_x.pdf</d:t>
    </d:r>
  </si>
  <si>
    <t>Ministry of Public Health Notification (MOPH), No. 449 entitled  “Food Containing Pesticide Residues (No. 4)”</t>
  </si>
  <si>
    <t>The Draft Ministry of Public Health notification entitled "Food Containing Pesticide Residues (No. 4)", previously notified in G/SPS/N/THA/584 dated 18 October 2022, was published in the Royal Gazette dated 11 June 2024 as Notification of the Ministry of Public Health No. 449.Date of entry into force: 12 June 2024 (after the date of its publication in the Government Gazette.)Text available at: https://ratchakitcha.soc.go.th/documents/31319.pdf.</t>
  </si>
  <si>
    <t>Food in general (ICS code: 67.040)</t>
  </si>
  <si>
    <t>Adoption/publication/entry into force of reg.; Human health; Food safety; Pesticides; Maximum residue limits (MRLs); Pesticides; Maximum residue limits (MRLs); Food safety; Human health</t>
  </si>
  <si>
    <d:r xmlns:d="http://schemas.openxmlformats.org/spreadsheetml/2006/main">
      <d:rPr>
        <d:sz val="11"/>
        <d:rFont val="Calibri"/>
      </d:rPr>
      <d:t xml:space="preserve">https://members.wto.org/crnattachments/2024/SPS/THA/24_04999_00_x.pdf</d:t>
    </d:r>
  </si>
  <si>
    <t>The DLD order on temporary suspension of the importation or transit of live domestic pigs and wild pigs and their carcasses from Poland to prevent the spread of African Swine Fever</t>
  </si>
  <si>
    <t>According to the announcement of the Government Gazette dated 26 April 2024, the suspension for the importation or transit of live domestic pigs and wild pigs and their carcasses from Poland, has expired on 26 July 2024. However, the WOAH has reported a continued outbreak of African Swine Fever in the area of Poland. Therefore, it is necessary for Thailand to prevent the entry of African Swine Fever disease into the country. By the virtue of the Animal Epidemics Act B.E. 2558 (2015), the importation or transit of live domestic pigs and wild pigs and their carcasses from Poland is temporarily suspended for a period of 90 days after the date of publication in the Thai Royal Gazette.</t>
  </si>
  <si>
    <t>Poland</t>
  </si>
  <si>
    <d:r xmlns:d="http://schemas.openxmlformats.org/spreadsheetml/2006/main">
      <d:rPr>
        <d:sz val="11"/>
        <d:rFont val="Calibri"/>
      </d:rPr>
      <d:t xml:space="preserve">https://members.wto.org/crnattachments/2024/SPS/THA/24_04986_00_x.pdf</d:t>
    </d:r>
  </si>
  <si>
    <t>The DLD order on temporary suspension of the importation or transit of live domestic pigs and wild pigs and their carcasses from Germany to prevent the spread of African Swine Fever</t>
  </si>
  <si>
    <t>According to the announcement of the Government Gazette dated 26 April 2024, the suspension for the importation or transit of live domestic pigs and wild pigs and their carcasses from Germany, has expired on 26 July 2024. However, the WOAH has reported a continued outbreak of African Swine Fever in the area of Germany. Therefore, it is necessary for Thailand to prevent the entry of African Swine Fever disease into the country. By the virtue of the Animal Epidemics Act B.E. 2558 (2015), the importation or transit of live domestic pigs and wild pigs and their carcasses from Germany is temporarily suspended for a period of 90 days after the date of publication in the Thai Royal Gazette. </t>
  </si>
  <si>
    <t>Germany</t>
  </si>
  <si>
    <d:r xmlns:d="http://schemas.openxmlformats.org/spreadsheetml/2006/main">
      <d:rPr>
        <d:sz val="11"/>
        <d:rFont val="Calibri"/>
      </d:rPr>
      <d:t xml:space="preserve">https://members.wto.org/crnattachments/2024/SPS/THA/24_04987_00_x.pdf</d:t>
    </d:r>
  </si>
  <si>
    <t>New measure prohibiting commercial dog imports from countries at high-risk for dog rabies</t>
  </si>
  <si>
    <t>The Canadian Food Inspection Agency (CFIA) will prohibit the importation of commercial dogs from countries which have been identified as posing a high-risk for rabies caused by canine-variant viruses. Rabies is a reportable disease in Canada and Canada is free of rabies caused by canine-variant viruses. In order to prevent the re-introduction of rabies caused by canine-variant viruses and to protect the health and safety of both animals and humans within Canada, the CFIA will be implementing import restrictions for dogs from high-risk countries.As of 28 September 2022, all dogs with a commercial end-use, as defined by the CFIA, from high-risk countries will not be permitted entry into Canada. As of this date, the CFIA will also no longer issue permits for commercial dogs less than eight months of age from high-risk countries. All shipments of commercial dogs (regardless of age) that are on route to Canada must arrive on or before 27 September 2022 to be eligible for importation. Any dog from a high-risk country that is presented for importation into Canada on or after 28 September 2022 and deemed to be a commercial import will not be allowed to enter Canada. There will be no exceptions made to this new measure regardless of the age of the dog or whether or not an import permit was previously required. Canada respectfully requests that all trading partners from high-risk countries take the necessary steps to ensure commercial dogs are not exported to Canada. The importation of personal pet dogs and assistance dogs, as defined by the CFIA, from high-risk countries will continue to be permitted under the CFIA’s currently established import requirements. The CFIA's Automated Import Reference System (AIRS) is the source for Canada’s import requirements.</t>
  </si>
  <si>
    <t>All domestic dogs (Canis familiaris) and their hybrids for commercial purposes (implicated HS Code: 010619-2083)</t>
  </si>
  <si>
    <t>010619 - Live mammals (excl. primates, whales, dolphins and porpoises, manatees and dugongs, seals, sea lions and walruses, camels and other camelids, rabbits and hares, horses, asses, mules, hinnies, bovines, pigs, sheep and goats); 010619 - Live mammals (excl. primates, whales, dolphins and porpoises, manatees and dugongs, seals, sea lions and walruses, camels and other camelids, rabbits and hares, horses, asses, mules, hinnies, bovines, pigs, sheep and goats)</t>
  </si>
  <si>
    <t>Animal health; Zoonoses; Animal diseases; Adoption/publication/entry into force of reg.; Zoonoses; Animal health; Animal diseases</t>
  </si>
  <si>
    <t>Proposed amendments to the “Regulations on Inspection for Imported Hygiene Products</t>
  </si>
  <si>
    <t xml:space="preserve">The Proposed amendments to the “Regulations on Inspection of Imported Hygiene Products” are as follows: _x000D_
A. Clarification of documents to be submitted for import declaration of return goods and hygiene products for R&amp;D purposes._x000D_
B. Establishment of a procedure for usage conversion of non-compliant hygiene products.</t>
  </si>
  <si>
    <t>Hygiene products</t>
  </si>
  <si>
    <d:r xmlns:d="http://schemas.openxmlformats.org/spreadsheetml/2006/main">
      <d:rPr>
        <d:sz val="11"/>
        <d:rFont val="Calibri"/>
      </d:rPr>
      <d:t xml:space="preserve">https://members.wto.org/crnattachments/2024/TBT/KOR/24_04932_00_x.pdf</d:t>
    </d:r>
  </si>
  <si>
    <t>The DLD order on temporary suspension of the importation or transit of live poultry and poultry carcasses from the Philippines to prevent the spread of Highly Pathogenic Avian Influenza (Subtype H5N1)</t>
  </si>
  <si>
    <t>According to the announcement of the Government Gazette dated 26 April 2024, the suspension for the importation or transit of live poultry and poultry carcasses from the Philippines, has expired on 26 July 2024. However, the WOAH has reported a continued outbreak of Highly Pathogenic Avian Influenza (HPAI) in the area of the Philippines. Therefore, it is necessary for Thailand to prevent the entry of Highly Pathogenic Avian Influenza (HPAI) disease into the country. By the virtue of the Animal Epidemics Act B.E. 2558 (2015), the importation or transit of live poultry and poultry carcasses from the Philippines is temporarily suspended for a period of 90 days after the date of publication in the Thai Royal Gazette.</t>
  </si>
  <si>
    <d:r xmlns:d="http://schemas.openxmlformats.org/spreadsheetml/2006/main">
      <d:rPr>
        <d:sz val="11"/>
        <d:rFont val="Calibri"/>
      </d:rPr>
      <d:t xml:space="preserve">https://members.wto.org/crnattachments/2024/SPS/THA/24_04989_00_x.pdf</d:t>
    </d:r>
  </si>
  <si>
    <t>The DLD order on temporary suspension of the importation or transit of live poultry and poultry carcasses from Germany to prevent the spread of Highly Pathogenic Avian Influenza (Subtype H7N5)</t>
  </si>
  <si>
    <t>According to the announcement of the Government Gazette dated 26 April 2024, the suspension for the importation or transit of live poultry and poultry carcasses from Germany, has expired on 26 July 2024. However, the WOAH has reported a continued outbreak of Highly Pathogenic Avian Influenza (HPAI) in the area of Germany. Therefore, it is necessary for Thailand to prevent the entry of Highly Pathogenic Avian Influenza (HPAI) disease into the country. By the virtue of the Animal Epidemics Act B.E. 2558 (2015), the importation or transit of live poultry and poultry carcasses from Germany is temporarily suspended for a period of 90 days after the date of publication in the Thai Royal Gazette. </t>
  </si>
  <si>
    <t>Avian Influenza; Animal health; Zoonoses; Animal diseases</t>
  </si>
  <si>
    <d:r xmlns:d="http://schemas.openxmlformats.org/spreadsheetml/2006/main">
      <d:rPr>
        <d:sz val="11"/>
        <d:rFont val="Calibri"/>
      </d:rPr>
      <d:t xml:space="preserve">https://members.wto.org/crnattachments/2024/SPS/THA/24_04991_00_x.pdf</d:t>
    </d:r>
  </si>
  <si>
    <t>The DLD order on temporary suspension of the importation or transit of live domestic pigs and wild pigs and their carcasses from Myanmar to prevent the spread of African Swine Fever</t>
  </si>
  <si>
    <t>According to the announcement of the Government Gazette dated 26 April 2024, the suspension for the importation or transit of live domestic pigs and wild pigs and their carcasses from Myanmar, has expired on 26 July 2024. However, Myanmar has no self-declaration for the recovery of country freedom from African Swine Fever from WOAH. Therefore, it is necessary for Thailand to prevent the entry of African Swine Fever disease into the country. By the virtue of the Animal Epidemics Act B.E. 2558 (2015), the importation or transit of live domestic pigs and wild pigs and their carcasses from Myanmar is temporarily suspended for a period of 90 days after the date of publication in the Thai Royal Gazette.</t>
  </si>
  <si>
    <t>Myanmar</t>
  </si>
  <si>
    <d:r xmlns:d="http://schemas.openxmlformats.org/spreadsheetml/2006/main">
      <d:rPr>
        <d:sz val="11"/>
        <d:rFont val="Calibri"/>
      </d:rPr>
      <d:t xml:space="preserve">https://members.wto.org/crnattachments/2024/SPS/THA/24_04988_00_x.pdf</d:t>
    </d:r>
  </si>
  <si>
    <t>Draft Order of the Ministry of Agrarian Policy  and Food of Ukraine  “On Amendments to the Order of the Ministry of Agrarian Policy and Food of Ukraine No. 592 of 02 November 2017”</t>
  </si>
  <si>
    <t xml:space="preserve">The draft Order aims to supplement the Requirements, approved by the Order of the Ministry of Agrarian Policy and Food of Ukraine No. 592 of 02 November 2017 with provisions on the labelling of the types of sugar covered by Requirements, as well as provisions on methods for determining the quality of sugar. _x000D_
The draft Order is developed to harmonize the provisions of national legislation on the labelling of types of sugar and methods for determining the quality of sugar intended for human consumption with EU legislation, particularly Council Directive 2001/111/EC. </t>
  </si>
  <si>
    <t>17019 - - Other:; 170230 - Glucose in solid form and glucose syrup, not containing added flavouring or colouring matter and not containing fructose or containing in the dry state, &lt; 20% by weight of fructose; 170240 - Glucose in solid form and glucose syrup, not containing added flavouring or colouring matter, and containing in the dry state &gt;= 20% and &lt; 50% by weight of fructose (excl. invert sugar); 170250 - Chemically pure fructose in solid form; 170260 - Fructose in solid form and fructose syrup, not containing added flavouring or colouring matter and containing in the dry state &gt; 50% by weight of fructose (excl. chemically pure fructose and invert sugar); 170290 - 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t>
  </si>
  <si>
    <t>67.180.10 - Sugar and sugar products</t>
  </si>
  <si>
    <d:r xmlns:d="http://schemas.openxmlformats.org/spreadsheetml/2006/main">
      <d:rPr>
        <d:sz val="11"/>
        <d:rFont val="Calibri"/>
      </d:rPr>
      <d:t xml:space="preserve">https://members.wto.org/crnattachments/2024/TBT/UKR/24_04982_00_e.pdf
https://members.wto.org/crnattachments/2024/TBT/UKR/24_04982_00_x.pdf</d:t>
    </d:r>
  </si>
  <si>
    <t>The DLD order on temporary suspension of the importation or transit of live poultry and poultry carcasses from the United States of America to prevent the spread of Highly Pathogenic Avian Influenza (Subtype H5N1)</t>
  </si>
  <si>
    <t>According to the announcement of the Government Gazette dated 26 April 2024, the suspension for the importation or transit of live poultry and poultry carcasses from the United States of America, has expired on 26 July 2024. However, the WOAH reported Highly Pathogenic Avian Influenza (HPAI) in the area of the United States of America. Therefore, it is necessary for Thailand to prevent the entry of Highly Pathogenic Avian Influenza (HPAI) disease into the country. By the virtue of the Animal Epidemics Act B.E. 2558 (2015), the importation or transit of live poultry and poultry carcasses from the United States of America is temporarily suspended for a period of 90 days after the date of publication in the Thai Royal Gazette. </t>
  </si>
  <si>
    <d:r xmlns:d="http://schemas.openxmlformats.org/spreadsheetml/2006/main">
      <d:rPr>
        <d:sz val="11"/>
        <d:rFont val="Calibri"/>
      </d:rPr>
      <d:t xml:space="preserve">https://members.wto.org/crnattachments/2024/SPS/THA/24_04992_00_x.pdf</d:t>
    </d:r>
  </si>
  <si>
    <t>The DLD order on temporary suspension of the importation or transit of live domestic pigs and wild pigs and their carcasses from the Republic of Korea to prevent the spread of African Swine Fever</t>
  </si>
  <si>
    <t>According to the announcement of the Government Gazette dated 26 April 2024, the suspension for the importation or transit of live domestic pigs and wild pigs and their carcasses from the Republic of Korea, has expired on 26 July 2024. However, the WOAH has reported a continued outbreak of African Swine Fever in the area of the Republic of Korea. Therefore, it is necessary for Thailand to prevent the entry of African Swine Fever disease into the country. By the virtue of the Animal Epidemics Act B.E. 2558 (2015), the importation or transit of live domestic pigs and wild pigs and their carcasses from the Republic of Korea is temporarily suspended for a period of 90 days after the date of publication in the Thai Royal Gazette.</t>
  </si>
  <si>
    <d:r xmlns:d="http://schemas.openxmlformats.org/spreadsheetml/2006/main">
      <d:rPr>
        <d:sz val="11"/>
        <d:rFont val="Calibri"/>
      </d:rPr>
      <d:t xml:space="preserve">https://members.wto.org/crnattachments/2024/SPS/THA/24_04984_00_x.pdf</d:t>
    </d:r>
  </si>
  <si>
    <t>DARS 1825-1:2024, Hay as animal feed — Part 1: Rhodes and natural grass hay — Specification, First Edition</t>
  </si>
  <si>
    <t>This Draft African Standard specifies the requirements, sampling and test methods for Rhodes and natural grass hay used as animal feed.Note: This Draft African  Standard was also notified under TBT Committee.</t>
  </si>
  <si>
    <t>Residues and waste from the food industries; Prepared animal fodder (HS code(s): 23); Agriculture (ICS code(s): 65)</t>
  </si>
  <si>
    <d:r xmlns:d="http://schemas.openxmlformats.org/spreadsheetml/2006/main">
      <d:rPr>
        <d:sz val="11"/>
        <d:rFont val="Calibri"/>
      </d:rPr>
      <d:t xml:space="preserve">https://members.wto.org/crnattachments/2024/SPS/TZA/24_04968_00_e.pdf</d:t>
    </d:r>
  </si>
  <si>
    <t>National Standard of the P.R.C., Minimum allowable values of the energy efficiency and energy efficiency grades for centrifugal pumps</t>
  </si>
  <si>
    <t xml:space="preserve">This document specifies the energy efficiency grades, minimum allowable values of energy efficiency and testing methods and calculation methods for centrifugal pumps for fresh water and petrochemical centrifugal pumps._x000D_
This document applies to single-stage single-suction centrifugal pumps for fresh water, single-stage double-suction centrifugal pumps for fresh water, multistage centrifugal pumps for fresh water, as well as single-stage single-suction petrochemical centrifugal pumps and single-stage double-suction petrochemical centrifugal pumps with closed (largest) impeller for transporting clean liquid.</t>
  </si>
  <si>
    <t>Centrifugal pumps (HS code(s): 8413); (ICS code(s): 27.010)</t>
  </si>
  <si>
    <t>8413 - Pumps for liquids, whether or not fitted with a measuring device (excl. ceramic pumps and secretion aspirating pumps for medical use and medical pumps carried on or implanted in the body); liquid elevators (excl. pumps); parts thereof</t>
  </si>
  <si>
    <t>27.010 - Energy and heat transfer engineering in general</t>
  </si>
  <si>
    <t>Consumer information, labelling (TBT); Protection of the environment (TBT); Cost saving and productivity enhancement (TBT)</t>
  </si>
  <si>
    <d:r xmlns:d="http://schemas.openxmlformats.org/spreadsheetml/2006/main">
      <d:rPr>
        <d:sz val="11"/>
        <d:rFont val="Calibri"/>
      </d:rPr>
      <d:t xml:space="preserve">https://members.wto.org/crnattachments/2024/TBT/CHN/24_04952_00_x.pdf</d:t>
    </d:r>
  </si>
  <si>
    <t>Resolución Exenta No 4814/2024, Fija exigencias sanitarias para la internación de abejas reinas a Chile y deroga Resolución que indica (Exempt Resolution No. 4814/2024 establishing sanitary requirements for the entry into Chile of queen bees and repealing the Resolution indicated) Chile hereby advises that Exempt Resolution No. 4814/2024 establishing sanitary requirements for the entry into Chile of queen bees and repealing the Resolution indicated, entered into force on 26 July 2024. https://members.wto.org/crnattachments/2024/SPS/CHL/24_04910_00_s.pdf</t>
  </si>
  <si>
    <t>Abejas reinas adultas (Apis mellifera</t>
  </si>
  <si>
    <t>Animal health; Animal diseases; Adoption/publication/entry into force of reg.; Animal health; Animal diseases</t>
  </si>
  <si>
    <d:r xmlns:d="http://schemas.openxmlformats.org/spreadsheetml/2006/main">
      <d:rPr>
        <d:sz val="11"/>
        <d:rFont val="Calibri"/>
      </d:rPr>
      <d:t xml:space="preserve">https://members.wto.org/crnattachments/2024/SPS/CHL/24_04910_00_s.pdf</d:t>
    </d:r>
  </si>
  <si>
    <t>National Standard of the P.R.C., Fuel consumption limits for passenger cars</t>
  </si>
  <si>
    <t xml:space="preserve">This document specifies the limits for fuel consumption of passenger cars, application for type approval, fuel consumption test procedure, determination and recording of type approval values, conformity of production, same type judgment, and implementation date. _x000D_
This document applies to M1 vehicles that can be fueled with gasoline or diesel fuel and have a maximum design total mass not exceeding 3500kg. This document does not apply to vehicles that only use gas fuels or alcohol ether fuels.</t>
  </si>
  <si>
    <t>Vehicles (HS code(s): 87); (ICS code(s): 43.020)</t>
  </si>
  <si>
    <t>87 - VEHICLES OTHER THAN RAILWAY OR TRAMWAY ROLLING STOCK, AND PARTS AND ACCESSORIES THEREOF</t>
  </si>
  <si>
    <t>43.020 - Road vehicles in general</t>
  </si>
  <si>
    <d:r xmlns:d="http://schemas.openxmlformats.org/spreadsheetml/2006/main">
      <d:rPr>
        <d:sz val="11"/>
        <d:rFont val="Calibri"/>
      </d:rPr>
      <d:t xml:space="preserve">https://members.wto.org/crnattachments/2024/TBT/CHN/24_04945_00_x.pdf</d:t>
    </d:r>
  </si>
  <si>
    <t>National Standard of the P.R.C., Motor vehicles-windshield demisting and defrosting systems technical specification</t>
  </si>
  <si>
    <t xml:space="preserve">This document specifies the technical requirements and test methods for  motor vehicles-windshield demisting and defrosting systems._x000D_
This document applies to vehicles of category M1.</t>
  </si>
  <si>
    <t>Protection of human health or safety (TBT); Other (TBT)</t>
  </si>
  <si>
    <d:r xmlns:d="http://schemas.openxmlformats.org/spreadsheetml/2006/main">
      <d:rPr>
        <d:sz val="11"/>
        <d:rFont val="Calibri"/>
      </d:rPr>
      <d:t xml:space="preserve">https://members.wto.org/crnattachments/2024/TBT/CHN/24_04946_00_x.pdf</d:t>
    </d:r>
  </si>
  <si>
    <t xml:space="preserve">Banned Hazardous Substances: Aerosol Duster Products Containing 
More Than 18 mg in Any Combination of HFC-152a and/or HFC-134a</t>
  </si>
  <si>
    <t xml:space="preserve">Notice of proposed rulemaking - The U.S. Consumer Product Safety Commission (Commission or CPSC) is proposing to declare that any aerosol duster products that contain more than 18 mg in any combination of HFC-152a and/or HFC-134a are banned hazardous substances under the Federal Hazardous Substances Act (FHSA). For the ten-year period from 2012 to 2021, CPSC is aware of more than 1,000 deaths, and estimates 21,700 treated injuries involving the inhalation of aerosol duster products. The proposed rule addresses deaths and injuries associated with the propellants HFC- 152a and HFC-134a used in aerosol duster products. The Commission is providing an opportunity for interested parties to submit written comments on this notice of proposed rulemaking (NPR). _x000D_
</t>
  </si>
  <si>
    <t>Aerosol duster products; Environmental protection (ICS code(s): 13.020); Production in the chemical industry (ICS code(s): 71.020); Halogenated hydrocarbons (ICS code(s): 71.080.20); Products of the chemical industry (ICS code(s): 71.100)</t>
  </si>
  <si>
    <t>13.020 - Environmental protection; 71.020 - Production in the chemical industry; 71.080.20 - Halogenated hydrocarbons; 71.100 - Products of the chemical industry</t>
  </si>
  <si>
    <d:r xmlns:d="http://schemas.openxmlformats.org/spreadsheetml/2006/main">
      <d:rPr>
        <d:sz val="11"/>
        <d:rFont val="Calibri"/>
      </d:rPr>
      <d:t xml:space="preserve">https://members.wto.org/crnattachments/2024/TBT/USA/24_04958_00_e.pdf</d:t>
    </d:r>
  </si>
  <si>
    <t>Proyecto de Resolución para regular la importación de semillas para siembra de Gandul (Cajanus cajan) originarias de India (Draft Resolution governing the importation of pigeon pea (Cajanus cajan) seeds for sowing originating in India)</t>
  </si>
  <si>
    <t>The notified draft Resolution establishes phytosanitary measures for the importation of pigeon pea (Cajanus cajan) seeds for sowing originating in India.</t>
  </si>
  <si>
    <t>Cajanus cajan (HS code(s): 071360)</t>
  </si>
  <si>
    <t>071360 - Dried, shelled pigeon peas "Cajanus cajan", whether or not skinned or split</t>
  </si>
  <si>
    <d:r xmlns:d="http://schemas.openxmlformats.org/spreadsheetml/2006/main">
      <d:rPr>
        <d:sz val="11"/>
        <d:rFont val="Calibri"/>
      </d:rPr>
      <d:t xml:space="preserve">https://members.wto.org/crnattachments/2024/SPS/CRI/24_04974_00_s.pdf</d:t>
    </d:r>
  </si>
  <si>
    <t>Protocolo Análisis y/o ensayos de Seguridad PE Nº 6/09:2024 de Producto Eléctrico (Safety analysis and/or test protocol (PE No. 6/09:2024) for electrical products) (10 pages, in Spanish)</t>
  </si>
  <si>
    <t>The notified protocol establishes the safety certification procedure for electric reciprocating saws (jig and sabre saws), designed mainly for household or similar purposes, with a single-phase electric motor with a voltage not exceeding 250 V AC and not more than 75 V DC (battery operated, Annexes K and L), and rated power up to 3,700 W. It does not apply to: • Hand-held tools intended to be used in the presence of an explosive atmosphere (dust, vapour or gas); • Hand-held tools used for preparing and processing food; • Hand-held tools for medical purposes (IEC 60601); • Heating tools which are covered by IEC 60335-2-45.</t>
  </si>
  <si>
    <t>Reciprocating saws (jig and sabre saws)</t>
  </si>
  <si>
    <d:r xmlns:d="http://schemas.openxmlformats.org/spreadsheetml/2006/main">
      <d:rPr>
        <d:sz val="11"/>
        <d:rFont val="Calibri"/>
      </d:rPr>
      <d:t xml:space="preserve">https://members.wto.org/crnattachments/2024/TBT/CHL/24_04962_00_s.pdf</d:t>
    </d:r>
  </si>
  <si>
    <t>Proyecto de Norma Oficial Mexicana PROY-NOM-241-SSA1-2024, Buenas prácticas de fabricación de dispositivos médicos (Draft Mexican Official Standard PROY-NOM-241-SSA1-2024: Good manufacturing practices for medical devices) (78 pages, in Spanish)</t>
  </si>
  <si>
    <t xml:space="preserve">Purpose • The purpose of the notified draft Standard is to set forth the minimum requirements for the design, development, manufacture, warehousing and distribution processes for medical devices for human use, based on their level of risk, that are to be marketed and made available in Mexican territory, so as to ensure their consistent compliance with quality, safety and performance requirements for use by the end consumer or patient. • The notified regulation also establishes the quality management and quality risk management system and provides for the design and development of medical devices, specifications for facilities and equipment, manufacturing systems, the control of inputs and specifications for quality control laboratories, among other considerations for applying good manufacturing practices. G/TBT/N/MEX/534 - 2 -   Scope • This Standard is binding in Mexican territory on all establishments engaged in the manufacture of medical devices and on warehouses that package, store and distribute medical devices to be marketed or supplied in Mexico.</t>
  </si>
  <si>
    <t>All establishments involved in the manufacture of medical devices, warehouses for the packaging, storage and distribution of medical devices to be marketed or supplied in Mexico.</t>
  </si>
  <si>
    <d:r xmlns:d="http://schemas.openxmlformats.org/spreadsheetml/2006/main">
      <d:rPr>
        <d:sz val="11"/>
        <d:rFont val="Calibri"/>
      </d:rPr>
      <d:t xml:space="preserve">https://members.wto.org/crnattachments/2024/TBT/MEX/24_04963_00_s.pdf</d:t>
    </d:r>
  </si>
  <si>
    <t>Regulation of Indonesian Food and Drug Authority (FDA) Indonesia No. 20 of 2019 concerning Food Packaging</t>
  </si>
  <si>
    <t>This regulation is the revised version from Regulation of The Indonesian FDA Number 20 Year 2019 on Food Packaging. Once this new regulation is enacted, the previous regulation (Regulation of The Indonesian FDA Number 20 Year 2019 on Food Packaging) will be revoked.This regulation set out permitted food packaging materials (migration level), general migration testing method, permitted food contact substances, prohibited food contact substances, recycled packaging material, application form for unlisted substances.This regulation contains appendixes as follow:Appendix I. Listed of Permitted Food Packaging MaterialsAppendix II. General Migration Testing MethodAppendix III. Migration Testing of Plastic Food Packaging Materials Intended for ReuseAppendix IV. Listed of Permitted Food Contact Substances for Food PackagingAppendix V. Listed of Prohibited Food Contact Substances for Food PackagingAppendix VI. Application Form for the Safety of Food Packaging.</t>
  </si>
  <si>
    <t>Food Packaging, Processed Food</t>
  </si>
  <si>
    <t>55.020 - Packaging and distribution of goods in general; 55.020 - Packaging and distribution of goods in general</t>
  </si>
  <si>
    <t>Packaging; Packaging</t>
  </si>
  <si>
    <d:r xmlns:d="http://schemas.openxmlformats.org/spreadsheetml/2006/main">
      <d:rPr>
        <d:sz val="11"/>
        <d:rFont val="Calibri"/>
      </d:rPr>
      <d:t xml:space="preserve">https://members.wto.org/crnattachments/2024/TBT/IDN/modification/24_04964_00_x.pdf</d:t>
    </d:r>
  </si>
  <si>
    <t>Resolución para regular la importación de frutos para consumo fresco de Pitahaya (Selenicereus undatus) originarios de China (Resolution governing the importation, for consumption, of fresh pitahayas (Selenicereus undatus) originating in China) Costa Rica hereby advises that the phytosanitary measures notified in document G/SPS/N/CRI/275 have been adopted under Resolution No. 064-2024-CV-ARP-SFE of the State Phytosanitary Service, Standards and Regulations Department, Pest Risk Analysis Unit, establishing phytosanitary requirements for the importation, for consumption, of fresh pitahayas (Selenicereus undatus) originating in China. The draft Resolution was circulated on 28 May 2024. The date of entry into force will be six months after signature of the final Resolution. https://members.wto.org/crnattachments/2024/SPS/CRI/24_04911_00_s.pdf</t>
  </si>
  <si>
    <t>Pitahaya (código(s) del SA: 081090), frutos para consumo fresco</t>
  </si>
  <si>
    <d:r xmlns:d="http://schemas.openxmlformats.org/spreadsheetml/2006/main">
      <d:rPr>
        <d:sz val="11"/>
        <d:rFont val="Calibri"/>
      </d:rPr>
      <d:t xml:space="preserve">https://members.wto.org/crnattachments/2024/SPS/CRI/24_04911_00_s.pdf</d:t>
    </d:r>
  </si>
  <si>
    <t>SDA/MAPA ORDINANCE No. 1.153, of 19 July 2024 - Establishes the phytosanitary requirements for the import of cineraria seeds (Cineraria maritima) from Mexico</t>
  </si>
  <si>
    <t>The phytosanitary requirements for the import of cineraria seeds (Cineraria maritima), Category 4,  produced in the Mexico are  established.</t>
  </si>
  <si>
    <t>Cineraria seeds (Cineraria maritima</t>
  </si>
  <si>
    <d:r xmlns:d="http://schemas.openxmlformats.org/spreadsheetml/2006/main">
      <d:rPr>
        <d:sz val="11"/>
        <d:rFont val="Calibri"/>
      </d:rPr>
      <d:t xml:space="preserve">https://members.wto.org/crnattachments/2024/SPS/BRA/24_04940_00_x.pdf
https://www.in.gov.br/web/dou/-/portaria-sda/mapa-n-1.153-de-19-de-julho-de-2024-573692496</d:t>
    </d:r>
  </si>
  <si>
    <t>DraftFood Safety and Standards (Food Products Standards and Food Additives) Amendment Regulations, 2024</t>
  </si>
  <si>
    <t>TheDraftFood Safety and Standards (Food Products Standards and Food Additives) Amendment Regulations, 2024 is related to standards for Synthetic Syrup for use in Dispensers for carbonated water, Culinary Pastes/Fruits and Vegetable Sauces Other Than Tomato Sauce and Soya Sauce, Whole Maize (Corn) Flour, Ragi Flour, Mixed millet flour, Flattened rice, Rice flour, Canned Fishery product, Edible rock salt, Edible black salt, Carbonated beverages and Carbonated water, Appendix A and Appendix B. </t>
  </si>
  <si>
    <d:r xmlns:d="http://schemas.openxmlformats.org/spreadsheetml/2006/main">
      <d:rPr>
        <d:sz val="11"/>
        <d:rFont val="Calibri"/>
      </d:rPr>
      <d:t xml:space="preserve">https://members.wto.org/crnattachments/2024/SPS/IND/24_04909_00_x.pdf</d:t>
    </d:r>
  </si>
  <si>
    <t>DARS 1844:2024, Dried insect products for compounded animal feeds — Specification, First Edition</t>
  </si>
  <si>
    <t>This Draft African Standard specifies the requirements, sampling, and test methods for dried insect products as animal feed ingredient.Note: This Draft Tanzania Standard was also notified under TBT Committee.</t>
  </si>
  <si>
    <d:r xmlns:d="http://schemas.openxmlformats.org/spreadsheetml/2006/main">
      <d:rPr>
        <d:sz val="11"/>
        <d:rFont val="Calibri"/>
      </d:rPr>
      <d:t xml:space="preserve">https://members.wto.org/crnattachments/2024/SPS/TZA/24_04970_00_e.pdf</d:t>
    </d:r>
  </si>
  <si>
    <t>National Standard of the P.R.C., Light sources for power-driven vehicles and their trailers —Safety requirement</t>
  </si>
  <si>
    <t xml:space="preserve">This document specifies the requirements, test conditions and inspection rules related to safety of filament light sources, gas discharge light sources and standardized LED light sources in lamps used by vehicles._x000D_
This document applies to light sources in road lighting and light signal devices and systems used by category  M, N, L and O vehicles.</t>
  </si>
  <si>
    <t>Light sources for power-driven vehicles and their trailers (HS code(s): 8512); (ICS code(s): 43.040.20)</t>
  </si>
  <si>
    <t>8512 - Electrical lighting or signalling equipment (excl. lamps of heading 8539), windscreen wipers, defrosters and demisters, of a kind used for cycles or motor vehicles; parts thereof</t>
  </si>
  <si>
    <t>43.040.20 - Lighting, signalling and warning devices</t>
  </si>
  <si>
    <d:r xmlns:d="http://schemas.openxmlformats.org/spreadsheetml/2006/main">
      <d:rPr>
        <d:sz val="11"/>
        <d:rFont val="Calibri"/>
      </d:rPr>
      <d:t xml:space="preserve">https://members.wto.org/crnattachments/2024/TBT/CHN/24_04948_00_x.pdf</d:t>
    </d:r>
  </si>
  <si>
    <t>National Standard of the P.R.C., General technical requirement of gas monitors and alarms for workplace</t>
  </si>
  <si>
    <t xml:space="preserve">This document specifies the terms and definitions, technical requirements, test methods, inspection rules, identification and packaging, transportation and storage, operating instructions and requirements for gas detection and alarm instrument in workplace._x000D_
This document applies to the production and use of combustible gas, toxic gas, and oxygen for gas detection and alarm instrument in workplaces. Gas detection and alarm instrument used in other places, if no other relevant standards are specified, shall refer to this document.</t>
  </si>
  <si>
    <t>Combustible gas detection alarm, toxic gas detection alarm, oxygen detection alarm, etc. (HS code(s): 902680); (ICS code(s): 13.320)</t>
  </si>
  <si>
    <t>902680 - Instruments or apparatus for measuring or checking variables of liquids or gases, n.e.s.</t>
  </si>
  <si>
    <t>13.320 - Alarm and warning systems</t>
  </si>
  <si>
    <d:r xmlns:d="http://schemas.openxmlformats.org/spreadsheetml/2006/main">
      <d:rPr>
        <d:sz val="11"/>
        <d:rFont val="Calibri"/>
      </d:rPr>
      <d:t xml:space="preserve">https://members.wto.org/crnattachments/2024/TBT/CHN/24_04943_00_x.pdf</d:t>
    </d:r>
  </si>
  <si>
    <t xml:space="preserve">The California Energy Commission (CEC) proposes to postpone adoption of the 2025 Energy Code to 11 September 2024.  This is a notice of intent to adopt a Negative Declaration for the 2025 Energy Code based on the Initial Study and Proposed Negative Declaration TN#255315-7, found at https://efiling.energy.ca.gov/GetDocument.aspx?tn=255315-7&amp;DocumentContentId=91001.The CEC is also postponing a public hearing originally scheduled for 14 August 2024. The hearing is rescheduled to 11 September 2024.2025 Energy Code Rulemaking Docket Log 24-BSTD-01:_x000D_
https://efiling.energy.ca.gov/Lists/DocketLog.aspx?docketnumber=24-BSTD-01</t>
  </si>
  <si>
    <d:r xmlns:d="http://schemas.openxmlformats.org/spreadsheetml/2006/main">
      <d:rPr>
        <d:sz val="11"/>
        <d:rFont val="Calibri"/>
      </d:rPr>
      <d:t xml:space="preserve">https://members.wto.org/crnattachments/2024/TBT/USA/24_04957_00_e.pdf
https://members.wto.org/crnattachments/2024/TBT/USA/24_04957_01_e.pdf
https://members.wto.org/crnattachments/2024/TBT/USA/24_04957_02_e.pdf</d:t>
    </d:r>
  </si>
  <si>
    <t>Draft Commission Implementing Regulation approving reaction products of boric acid with didecylamine and ethylene oxide (polymeric betaine) as an existing active substance for use in biocidal products of product-type 8 in accordance with Regulation (EU) No 528/2012 of the European Parliament and of the Council</t>
  </si>
  <si>
    <t>This draft Commission Implementing Regulation approves reaction products of boric acid with didecylamine and ethylene oxide (polymeric betaine) as an existing active substance for use in biocidal products of product-type 8 </t>
  </si>
  <si>
    <d:r xmlns:d="http://schemas.openxmlformats.org/spreadsheetml/2006/main">
      <d:rPr>
        <d:sz val="11"/>
        <d:rFont val="Calibri"/>
      </d:rPr>
      <d:t xml:space="preserve">https://members.wto.org/crnattachments/2024/TBT/EEC/24_04955_00_e.pdf
https://members.wto.org/crnattachments/2024/TBT/EEC/24_04955_01_e.pdf</d:t>
    </d:r>
  </si>
  <si>
    <t>DARS 1830:2024, Compounded goat and sheep feed — Specification, First Edition</t>
  </si>
  <si>
    <t>This Draft African standard specifies the requirements, methods of sampling and test for compounded goat and sheep feeds.Note: This Draft Tanzania Standard was also notified under TBT Committee.</t>
  </si>
  <si>
    <d:r xmlns:d="http://schemas.openxmlformats.org/spreadsheetml/2006/main">
      <d:rPr>
        <d:sz val="11"/>
        <d:rFont val="Calibri"/>
      </d:rPr>
      <d:t xml:space="preserve">https://members.wto.org/crnattachments/2024/SPS/TZA/24_04972_00_e.pdf</d:t>
    </d:r>
  </si>
  <si>
    <t>Jordan</t>
  </si>
  <si>
    <t>Textiles, Part 1: Chemicals content requirements in textile products</t>
  </si>
  <si>
    <t>This Jordanian regulation specifies requirements for the content of chemicals in textile products in the field of safety, health and the environment. with direct skin contact and in the proximity of the human body(including accessories).This Jordanian regulation shall apply on the following textile products:products containing at least 80 % by weight of textile fibres; (b) furniture, umbrella and sunshade coverings containing at least 80 % by weight of textile components; (c) the textile components of: (i) the upper layer of multi-layer floor coverings; (ii) mattress coverings; (iii) coverings of camping goods; provided such textile components constitute at least 80 % by weight of such upper layers or coverings;(d) textiles incorporated in other products and forming an integral part thereof, where their composition is specified. This Regulation shall not apply to textile products which are contracted out to persons working in their own homes or to independent firms that carry out work from materials supplied without the property therein being transferred for consideration. This Regulation shall not apply to customised textile products made up by self-employed tailors, and products designed for medical purposes is excluded also.</t>
  </si>
  <si>
    <t>IMPREGNATED, COATED, COVERED OR LAMINATED TEXTILE FABRICS; TEXTILE ARTICLES OF A KIND SUITABLE FOR INDUSTRIAL USE (HS code(s): 59); Processes of the textile industry (ICS code(s): 59.020); Textile auxiliary materials (ICS code(s): 59.040); Textile fibres (ICS code(s): 59.060); Products of the textile industry (ICS code(s): 59.080); Materials for the reinforcement of composites (ICS code(s): 59.100); Textile machinery (ICS code(s): 59.120)</t>
  </si>
  <si>
    <t>59 - IMPREGNATED, COATED, COVERED OR LAMINATED TEXTILE FABRICS; TEXTILE ARTICLES OF A KIND SUITABLE FOR INDUSTRIAL USE</t>
  </si>
  <si>
    <t>59.020 - Processes of the textile industry; 59.040 - Textile auxiliary materials; 59.060 - Textile fibres; 59.080 - Products of the textile industry; 59.100 - Materials for the reinforcement of composites; 59.120 - Textile machinery</t>
  </si>
  <si>
    <d:r xmlns:d="http://schemas.openxmlformats.org/spreadsheetml/2006/main">
      <d:rPr>
        <d:sz val="11"/>
        <d:rFont val="Calibri"/>
      </d:rPr>
      <d:t xml:space="preserve">http://www.jsmo.gov.jo/ar/OrgStructure/Departments/Standardization/Documents/%D8%B9%20%D9%86%20%20%D9%86%D8%B3%D8%AE%D8%A9%20%D8%AB%D8%A7%D9%86%D9%8A%D8%A9%20%D9%85%D8%AA%D8%B7%D9%84%D8%A8%D8%A7%D8%AA%202235.pdf
</d:t>
    </d:r>
  </si>
  <si>
    <t>DARS 1843:2024, Production and handling of edible insects for food and feed — Code of practice, First Edition</t>
  </si>
  <si>
    <t>This Draft African Standard provides guidelines for sustainable establishment and operation of domesticated edible insects production, harvesting and post harvesting handling for food and feed.Note: This Draft Tanzania Standard was also notified under TBT Committee.</t>
  </si>
  <si>
    <d:r xmlns:d="http://schemas.openxmlformats.org/spreadsheetml/2006/main">
      <d:rPr>
        <d:sz val="11"/>
        <d:rFont val="Calibri"/>
      </d:rPr>
      <d:t xml:space="preserve">https://members.wto.org/crnattachments/2024/SPS/TZA/24_04971_00_e.pdf</d:t>
    </d:r>
  </si>
  <si>
    <t>Draft of the Egyptian Standard ES 6010 for “ lifts for the transport of persons and goods- T-type guide rails for lift cars and counterweights “</t>
  </si>
  <si>
    <t>Description: Products covered: ICS : 91.140.90 (Lifts. Escalators)This addendum concerns the notification of the draft of the Egyptian Standard ES 6010 for “lifts for the transport of persons and goods-T-type guide rails for lift cars and counterweights “(27 pages, in Arabic).It should be noted that the Ministerial Decree No. 609 /2020 " (3 pages, in Arabic) which was formerly notified in G/TBT/N/EGY/290 dated 30 march 2021 mandated among others the earlier versions and amendments of this Standard.This draft standard cancels and supersedes its last edition in 2020. Worth mentioning is that this draft standard is technically identical with ISO 8100-33/2022. Producers and importers are kept informed of any amendments in the Egyptian standards through the publication of administrative orders in the official gazette.Date of adoption: To be determined.Date of entry into force: To be determined.Agency or authority designated to handle comments and text available from:National Enquiry Point Egyptian Organization for Standardization and Quality 16 Tadreeb El-Modarrebeen St., Ameriya, Cairo - Egypt E-mail: eos@idsc.net.eg/eos.tbt@eos.org.egWebsite: http://www.eos.org.eg Tel: + (202) 22845528 Fax: + (202) 22845504</t>
  </si>
  <si>
    <t>Lifts. Escalators (ICS code(s): 91.140.90)</t>
  </si>
  <si>
    <t>91.140.90 - Lifts. Escalators; 91.140.90 - Lifts. Escalators</t>
  </si>
  <si>
    <t>Protocolo Análisis y/o ensayos de Seguridad PE Nº 1/42: 2024 de Producto Eléctrico (Safety analysis and/or test protocol (PE No. 1/42:2024) for electrical products) (11 pages, in Spanish)</t>
  </si>
  <si>
    <t>The notified protocol establishes the certification procedure for coffee mills not exceeding 500 g hopper capacity and grain grinders not exceeding 3 l hopper capacity for household and similar purposes, in accordance with the scope and field of application of International Electrotechnical Commission (IEC) Standard No. 60335-2-14:2019-03. Note: Products that can function as both coffee mills and grain grinders are covered, and they must undergo specific tests to assess both functions.</t>
  </si>
  <si>
    <t>Coffee mills, grain grinders</t>
  </si>
  <si>
    <d:r xmlns:d="http://schemas.openxmlformats.org/spreadsheetml/2006/main">
      <d:rPr>
        <d:sz val="11"/>
        <d:rFont val="Calibri"/>
      </d:rPr>
      <d:t xml:space="preserve">https://members.wto.org/crnattachments/2024/TBT/CHL/24_04961_00_s.pdf</d:t>
    </d:r>
  </si>
  <si>
    <t>National Standard of the P.R.C., Sterilization of health care products—Radiation—Part 1: Requirements for development, validation and routine control of a sterilization process for medical devices.</t>
  </si>
  <si>
    <t xml:space="preserve">This document specifies the requirements for the development, validation, and routine control of medical devices during radiation sterilization processes._x000D_
This document applies to medical devices, but these requirements and provided guidelines can be applied to other products and devices.</t>
  </si>
  <si>
    <t>Medical devices that are sterilized by radiation using the radionuclides 60cobalt or 137cesium, electron beam from electron generators, and X-ray from X-ray generators (HS code(s): 300590; 392329; 701790; 842129; 901831; 901839; 902131); (ICS code(s): 11.080.01)</t>
  </si>
  <si>
    <t>300590 - Wadding, gauze, bandages and the like, e.g. dressings, adhesive plasters, poultices, impregnated or covered with pharmaceutical substances or put up for retail sale for medical, surgical, dental or veterinary purposes (excl. adhesive dressings and other articles having an adhesive layer); 392329 - Sacks and bags, incl. cones, of plastics (excl. those of polymers of ethylene); 701790 - Laboratory, hygienic or pharmaceutical glassware, whether or not graduated or calibrated (excl. glass having a linear coefficient of expansion &lt;= 5 x 10 -6 per kelvin within a temperature range of 0°C to 300°C or of fused quartz or other fused silica, containers for the conveyance or packing of goods, measuring, checking or medical instruments and apparatus of chapter 90); 842129 - Machinery and apparatus for filtering or purifying liquids (excl. such machinery and apparatus for water and other beverages, oil or petrol-filters for internal combustion engines and artificial kidneys); 901831 - Syringes, with or without needles, used in medical, surgical, dental or veterinary sciences; 901839 - Needles, catheters, cannulae and the like, used in medical, surgical, dental or veterinary sciences (excl. syringes, tubular metal needles and needles for sutures); 902131 - Artificial joints for orthopaedic purposes</t>
  </si>
  <si>
    <t>11.080.01 - Sterilization and disinfection in general</t>
  </si>
  <si>
    <d:r xmlns:d="http://schemas.openxmlformats.org/spreadsheetml/2006/main">
      <d:rPr>
        <d:sz val="11"/>
        <d:rFont val="Calibri"/>
      </d:rPr>
      <d:t xml:space="preserve">https://members.wto.org/crnattachments/2024/TBT/CHN/24_04944_00_x.pdf</d:t>
    </d:r>
  </si>
  <si>
    <t>National Standard of the P.R.C., On-board accident emergency call system</t>
  </si>
  <si>
    <t xml:space="preserve">This document specifies the technical requirements and test methods for accident emergency call system._x000D_
This document applies to M1 and N1 category vehicles.</t>
  </si>
  <si>
    <d:r xmlns:d="http://schemas.openxmlformats.org/spreadsheetml/2006/main">
      <d:rPr>
        <d:sz val="11"/>
        <d:rFont val="Calibri"/>
      </d:rPr>
      <d:t xml:space="preserve">https://members.wto.org/crnattachments/2024/TBT/CHN/24_04947_00_x.pdf</d:t>
    </d:r>
  </si>
  <si>
    <t>National Standard of the P.R.C., Minimum allowable values of energy efficiency and energy efficiency grades for gas cooking appliances</t>
  </si>
  <si>
    <t xml:space="preserve">This document specifies minimum allowable values of energy efficiency, energy efficiency grades, and energy efficiency test methods for domestic and commercial gas cooking appliances._x000D_
This document applies to gas cooking appliances using town gas with a single burner rated heat load of no more than 5.23 kW, stir-fry stoves rated heat load of no more than 60 kW, large boiler stoves rated heat load of no more than 80 kW and steam boxes rated heat load of no more than 80 kW and steam chamber pressure of no more than 1200 Pa.</t>
  </si>
  <si>
    <t>Gas cooking appliances (HS code(s): 732111); (ICS code(s): 27.010)</t>
  </si>
  <si>
    <t>732111 - Appliances for baking, frying, grilling and cooking and plate warmers, for domestic use, of iron or steel, for gas fuel or for both gas and other fuels (excl. large cooking appliances)</t>
  </si>
  <si>
    <d:r xmlns:d="http://schemas.openxmlformats.org/spreadsheetml/2006/main">
      <d:rPr>
        <d:sz val="11"/>
        <d:rFont val="Calibri"/>
      </d:rPr>
      <d:t xml:space="preserve">https://members.wto.org/crnattachments/2024/TBT/CHN/24_04951_00_x.pdf</d:t>
    </d:r>
  </si>
  <si>
    <t>Draft Commission Implementing Decision amending Commission Decision 2006/771/EC updating harmonised technical conditions in the area of radio spectrum use for short-range devices and repealing Commission Decision 2014/641/EU on harmonised technical conditions of radio spectrum use by wireless audio programme making and special events equipment in the Union </t>
  </si>
  <si>
    <t>This draft Commission Implementing Decision requires EU Member States to designate and make available on a non-exclusive, non-interference and non-protected basis the frequency bands for several categories of short-range devices (SRD) which are subject to specific technical conditions, as laid down in the technical annex.</t>
  </si>
  <si>
    <t>Short-range devices (radio equipment)</t>
  </si>
  <si>
    <t>33.060 - Radiocommunications</t>
  </si>
  <si>
    <d:r xmlns:d="http://schemas.openxmlformats.org/spreadsheetml/2006/main">
      <d:rPr>
        <d:sz val="11"/>
        <d:rFont val="Calibri"/>
      </d:rPr>
      <d:t xml:space="preserve">https://members.wto.org/crnattachments/2024/TBT/EEC/24_04954_00_e.pdf
https://members.wto.org/crnattachments/2024/TBT/EEC/24_04954_01_e.pdf</d:t>
    </d:r>
  </si>
  <si>
    <t>DARS 1843:2024,Production and handling of edible insects for food and feed - Code of practice,First Edition.</t>
  </si>
  <si>
    <t>This Draft African Standard provides guidelines for sustainable establishment and operation of domesticated edible insects production, harvesting and post harvesting handling for food and feed.Note: This Draft Tanzania Standard was also notified under SPS committee</t>
  </si>
  <si>
    <d:r xmlns:d="http://schemas.openxmlformats.org/spreadsheetml/2006/main">
      <d:rPr>
        <d:sz val="11"/>
        <d:rFont val="Calibri"/>
      </d:rPr>
      <d:t xml:space="preserve">https://members.wto.org/crnattachments/2024/TBT/TZA/24_04973_00_e.pdf</d:t>
    </d:r>
  </si>
  <si>
    <t>Draft of Egyptian Standards ES 2613-2 for "shelf life for food products part: 2 shelf life " (18 pages, in Arabic) (partial amendment in 1 page, in Arabic).</t>
  </si>
  <si>
    <t>Products covered: ICS : 67.040 (Food products in general)This addendum concerns the notification of draft of Egyptian Standard ES 2613-2 " shelf life for food products part: 2 shelf life " (18 pages, in Arabic) (partial amendment in 1 page, in Arabic).It should be noted that the Ministerial Decree No. 100/2019 (2 pages, in Arabic) which was formerly notified in G/TBT/N/EGY/212 dated 10 May 2019, Ministerial Decree No. 653/2020 (2 pages, in Arabic) which was formerly notified in G/TBT/N/EGY/212/Add.2 dated 15 March 2021, Ministerial Decree No. 222/2021 (1 page, in Arabic) which was formerly notified in G/TBT/N/EGY/212/Add.3 dated 31 August 2021, Ministerial Decree No. 522/2021 (2 pages, in Arabic) which was formerly notified in G/TBT/N/EGY/212/Add.4 dated 16 February 2022, Ministerial Decree No. 393/2022 (2 pages, in Arabic) which was formerly notified in G/TBT/N/EGY/212/Add.5 dated 22 August 2022, Ministerial Decree No. 233/2023 (2 pages, in Arabic) which was formerly notified in G/TBT/N/EGY/212/Add.6 dated 20 July 2023 and the Ministerial Decree No.361/2024 (2 pages, in Arabic) which was formerly notified in G/TBT/N/EGY/212/Add.7 dated 10 July 2024 mandated among others the earlier versions and amendments of this Standard.Worth mentioning is that this standard has been partially modified in table (1), table (2), table (3) as the following items:The shelf life of plain and flavoured yogurt is 30 days instead of 15 days.The shelf life of beef and buffalo liver is 12 months instead of 7 months.The shelf life of frozen fish is 10 months instead of 6 months.Worth mentioning is that this standard has been formulated according to National Studies and its updates.Producers and importers are kept informed of any amendments in the Egyptian standards through the publication of administrative orders in the official gazette.Proposed date of adoption: to be determined Proposed date of entry into force: to be determinedAgency or authority designated to handle comments and text available from:National Enquiry PointEgyptian Organization for Standardization and Quality16 Tadreeb El-Modarrebeen St., Ameriya, Cairo - EgyptE-mail: eos@idsc.net.eg/eos.tbt@eos.org.egWebsite: http://www.eos.org.egTel: + (202) 22845528Fax: + (202) 22845504</t>
  </si>
  <si>
    <t>Food products in general ICS: 67.040</t>
  </si>
  <si>
    <t>04 - DAIRY PRODUCE; BIRDS' EGGS; NATURAL HONEY; EDIBLE PRODUCTS OF ANIMAL ORIGIN, NOT ELSEWHERE SPECIFIED OR INCLUDED; 04 - DAIRY PRODUCE; BIRDS' EGGS; NATURAL HONEY; EDIBLE PRODUCTS OF ANIMAL ORIGIN, NOT ELSEWHERE SPECIFIED OR INCLUDED</t>
  </si>
  <si>
    <t>67.040 - Food products in general; 67.040 - Food products in general; 67.100 - Milk and milk products; 67.100 - Milk and milk products</t>
  </si>
  <si>
    <t>DARS 1825-2:2024, Hay as animal feed — Part 2: Alfalfa (Lucerne) hay — Specification, First Edition</t>
  </si>
  <si>
    <t>This Draft African Standard specifies the requirements, sampling and test methods for alfalfa (lucerne) hay used as animal feed.Note: This Draft African Standard was also notified under TBT Committee.</t>
  </si>
  <si>
    <t>Residues and waste from the food industries; Prepared animal fodder (HS code(s): 23); Agriculture (ICS code(s): 65)</t>
  </si>
  <si>
    <d:r xmlns:d="http://schemas.openxmlformats.org/spreadsheetml/2006/main">
      <d:rPr>
        <d:sz val="11"/>
        <d:rFont val="Calibri"/>
      </d:rPr>
      <d:t xml:space="preserve">https://members.wto.org/crnattachments/2024/SPS/TZA/24_04969_00_e.pdf</d:t>
    </d:r>
  </si>
  <si>
    <t>The DraftFood Safety and Standards (Food Product Standards and Food Additives) Amendment Regulations, 2024 is related to standards for Ultra-pasteurisation, Flavoured milk, Milk powder and cream powder, Dairy Whitener, Fermented Milk Products, Chakka, Whey Protein Concentrate, Whey Protein Isolate, Rapeseed oil, Hazelnut oil, Pistachio oil, Walnut oil, Coconut Testa Oil, Textured soy protein, Imitation chocolate, Ice Lollies/Edible Ices, High Fructose Corn Syrup (HFCS), Saffron, Juniper berries, Appendix A and Appendix C.</t>
  </si>
  <si>
    <d:r xmlns:d="http://schemas.openxmlformats.org/spreadsheetml/2006/main">
      <d:rPr>
        <d:sz val="11"/>
        <d:rFont val="Calibri"/>
      </d:rPr>
      <d:t xml:space="preserve">https://members.wto.org/crnattachments/2024/SPS/IND/24_04908_00_x.pdf</d:t>
    </d:r>
  </si>
  <si>
    <t>National Standards of the P.R.C., Minimum allowable values of energy efficiency and energy grades for microcomputers</t>
  </si>
  <si>
    <t xml:space="preserve">This document specifies energy efficiency grades, minimum allowable values of energy efficiency and test methods for desktop computers, integrated desktop computers and notebook computers._x000D_
This document applies to general purpose microcomputers.</t>
  </si>
  <si>
    <t>Microcomputers (HS code(s): 8471); (ICS code(s): 27.010)</t>
  </si>
  <si>
    <t>8471 - Automatic data-processing machines and units thereof; magnetic or optical readers, machines for transcribing data onto data media in coded form and machines for processing such data, n.e.s.</t>
  </si>
  <si>
    <d:r xmlns:d="http://schemas.openxmlformats.org/spreadsheetml/2006/main">
      <d:rPr>
        <d:sz val="11"/>
        <d:rFont val="Calibri"/>
      </d:rPr>
      <d:t xml:space="preserve">https://members.wto.org/crnattachments/2024/TBT/CHN/24_04953_00_x.pdf</d:t>
    </d:r>
  </si>
  <si>
    <t>Jamaica</t>
  </si>
  <si>
    <t>THE TRADE (PLASTIC PACKAGING MATERIALS PROHIBITION) (AMENDMENT) ORDER, 2024 </t>
  </si>
  <si>
    <t>The Trade (Plastic Packaging Materials Prohibition) Order, 2024, issued under Jamaica's Trade Act, amends the principal Order the Trade (PlasticPackaging Materials Prohibition) Order, 2018, to update the definitions to ‘Single use plastics’ to now include:1. plastic food containers made wholly or in part of polyethylene, polypropylene or polylactic acid and prohibits their use, but does not apply until the 11th day of July 2024, to the importation of plastic foodcontainers; until the 9th day of January 2025, to the distribution of plastic foodcontainers;2. cosmetic care or personal care products to which plastic microbeads or microplastics have been intentionally addedThe Order does not apply:until the 1st day of July 2025 to cosmetic care or personal care products to which plastic microbeads or microplastics have been intentionally added; andto cosmetic care or personal care products— to which plastic microbeads or microplastics have been intentionally added; and that were imported before the 1st day of July 2025.</t>
  </si>
  <si>
    <t>Single use plastic food container made wholly or in part of polyethylene, polypropylene or polylactic acid. Tariff code 3923 1090 90Cosmetic care or personal care products to which plastic microbeads or microplastics have been intentionally added</t>
  </si>
  <si>
    <t>3923 - Articles for the conveyance or packaging of goods, of plastics; stoppers, lids, caps and other closures, of plastics</t>
  </si>
  <si>
    <d:r xmlns:d="http://schemas.openxmlformats.org/spreadsheetml/2006/main">
      <d:rPr>
        <d:sz val="11"/>
        <d:rFont val="Calibri"/>
      </d:rPr>
      <d:t xml:space="preserve">https://members.wto.org/crnattachments/2024/TBT/JAM/24_04959_00_e.pdf</d:t>
    </d:r>
  </si>
  <si>
    <t>Draft Regulation of the National Food Agency of the Republic of Indonesia on Maximum Levels of Contaminant in Primary Foods Commodities</t>
  </si>
  <si>
    <t>This Regulation is intended to serve as a standard or reference for food business operators, who wish to distribute/sell primary food commodities in the domestic market of Indonesia.   This Regulation specifies the maximum level of contaminants for Primary food commodities of plant origin, i.e. microbiological (SalmonellaListeria monocytogenes, Shiga Toxin producing Eschericia coli (STEC), and Bacillus cereus); heavy metals (Arsenic, Cadmium, and Lead); and mycotoxins (Aflatoxin B1, Aflatoxin total, Fumonisin, and Ochratoxin A).Compliance with the maximum level of contaminants would be determined by quantitative laboratory tests.The date of entry into force would be the same as the date of publication. However, there is a grace period of 12 months to comply with the Regulation for all primary food commodities  that have been put in the market before the publication date of this Regulation.</t>
  </si>
  <si>
    <t>Primary food commodities of plant origin (Plant and plant products)</t>
  </si>
  <si>
    <d:r xmlns:d="http://schemas.openxmlformats.org/spreadsheetml/2006/main">
      <d:rPr>
        <d:sz val="11"/>
        <d:rFont val="Calibri"/>
      </d:rPr>
      <d:t xml:space="preserve">https://members.wto.org/crnattachments/2024/SPS/IDN/24_04913_00_x.pdf</d:t>
    </d:r>
  </si>
  <si>
    <t>Normativa Técnica Sanitaria para otorgar el periodo de exclusividad de datos de prueba de Productos Farmacéuticos que contengan nuevas entidades químicas (Sanitary Technical Regulations on the granting of a period of exclusivity for test data for pharmaceutical products containing new chemical entities)</t>
  </si>
  <si>
    <t xml:space="preserve">Sanitary Technical Regulations on the granting of a period of exclusivity for test data for pharmaceutical products containing new chemical entities.  1 This information can be provided by including a website address, a PDF attachment, or other information on where the text of the final measure/change to the measure/interpretative guidance can be obtained. G/TBT/N/ECU/522/Add.1 - 2 -   This Addendum No. 1, submitted by the Republic of Ecuador, concerns the Sanitary Technical Regulations on the granting of a period of exclusivity for test data for pharmaceutical products containing new chemical entities. These Regulations establish the requirements and procedure according to which the National Agency for Sanitary Regulation, Control and Surveillance (ARCSA) will grant a period of exclusivity for test data or other undisclosed information on safety and efficacy, for pharmaceutical products containing new chemical entities. The Sanitary Technical Regulations on the granting of a period of exclusivity for test data for pharmaceutical products containing new chemical entities were issued by ARCSA pursuant to Resolution ARCSA-DE-2024-023-DASP of 28 June 2024 and published in Official Journal No. 604 of 19 July 2024. The Resolution will enter into force six months after its signature, without prejudice to its publication in the Official Journal. The authority responsible for this regulatory text is ARCSA. Ministerio de Producción, Comercio Exterior, Inversiones y Pesca (Ministry of Production, Foreign Trade, Investment and Fisheries) Subsecretaría de Calidad (Under-Secretariat for Quality) Organismo Nacional de Notificación (National Notification Authority): TBT enquiry point: Patricio Álvarez Plataforma Gubernamental de Gestión Financiera - Piso 8, Bloque amarillo, Av. Amazonas entre Unión Nacional de Periodistas y Alfonso Pereira Quito, Ecuador Tel.: (+593-2) 3948760, Ext. 2252/2254 Email: Puntocontacto-OTCECU@produccion.gob.ec PuntocontactoOTC@gmail.com palvarezc@produccion.gob.ec cyepez@produccion.gob.ec __________</t>
  </si>
  <si>
    <t>Draft Sanitary Technical Regulations to grant exclusivity for test data for pharmaceutical products containing new chemical entities. The notified draft Regulations establish the procedure by which the ARCSA grants a period of exclusivity for test data or other undisclosed information on safety and efficacy, which require considerable effort to obtain, for pharmaceutical products containing new chemical entities, in accordance with the provisions of the Organic Code of the Social Economy of Knowledge, Creativity and Innovation (COESCI).</t>
  </si>
  <si>
    <d:r xmlns:d="http://schemas.openxmlformats.org/spreadsheetml/2006/main">
      <d:rPr>
        <d:sz val="11"/>
        <d:rFont val="Calibri"/>
      </d:rPr>
      <d:t xml:space="preserve">https://members.wto.org/crnattachments/2024/TBT/ECU/final_measure/24_04956_00_s.pdf</d:t>
    </d:r>
  </si>
  <si>
    <t>Resolución para regular la importación de frutos para consumo fresco de Anona chirimoya (Annona cherimola) originarios de China (Resolution governing the importation, for consumption, of fresh cherimoya (Annona cherimola) fruit originating in China) Costa Rica hereby advises that the phytosanitary measures notified in document G/SPS/N/CRI/276 have been adopted under Resolution No. 063-2024-CV-ARP-SFE of the State Phytosanitary Service, Standards and Regulations Department, Pest Risk Analysis Unit, establishing phytosanitary requirements for the importation, for consumption, of fresh cherimoya (Annona cherimola) fruit originating in China. The draft Resolution was circulated on 28 May 2024. The date of entry into force will be six months after signature of the final Resolution. https://members.wto.org/crnattachments/2024/SPS/CRI/24_04912_00_s.pdf</t>
  </si>
  <si>
    <t>Frutos para consumo fresco de anona chirimoya (Annona cherimola</t>
  </si>
  <si>
    <d:r xmlns:d="http://schemas.openxmlformats.org/spreadsheetml/2006/main">
      <d:rPr>
        <d:sz val="11"/>
        <d:rFont val="Calibri"/>
      </d:rPr>
      <d:t xml:space="preserve">https://members.wto.org/crnattachments/2024/SPS/CRI/24_04912_00_s.pdf</d:t>
    </d:r>
  </si>
  <si>
    <t>The Natural Resources Conservation Authority (Plastic Packaging Materials Prohibition) Order, 2024</t>
  </si>
  <si>
    <t>The Natural Resources Conservation Authority (Plastic Packaging Materials Prohibition) Order, 2024 prohibits the manufacture and use of any single use plastic in commercial quantities. The Order updates the ‘Single use plastics’ to now include:plastic food containers made wholly or in part of polyethylene, polypropylene or polylactic acid and prohibits their use, but does not apply:until the 11th day of July 2024, to the manufacture of plastic food containers; anduntil the 9th day of January 2025, to the use of plastic food containers;   2. cosmetic care or personal care products to which plastic microbeads or microplastics have been intentionally added.The Order does not apply to - (a) cosmetic care or personal care products—     (i) to which plastic microbeads or microplastics have been intentionally          added; and    (ii) that were imported before the 1st day of July 2025; or(b) until the 1st day of July 2025 to cosmetic care or personal care products to which plastic microbeads or microplastics have been intentionally added</t>
  </si>
  <si>
    <d:r xmlns:d="http://schemas.openxmlformats.org/spreadsheetml/2006/main">
      <d:rPr>
        <d:sz val="11"/>
        <d:rFont val="Calibri"/>
      </d:rPr>
      <d:t xml:space="preserve">https://members.wto.org/crnattachments/2024/TBT/JAM/24_04960_00_e.pdf</d:t>
    </d:r>
  </si>
  <si>
    <t>Draft Commission Implementing Regulation concerning the non-renewal of the approval of the active substance metribuzin, in accordance with Regulation (EC) No 1107/2009 of the European Parliament and of the Council, and amending Commission Implementing Regulation (EU) No 540/2011 and Commission Implementing Regulation (EU) 2015/408</t>
  </si>
  <si>
    <t>This draft Commission Implementing Regulation provides that the approval of the active substance metribuzin is not renewed in accordance with Regulation (EC) No 1107/2009. EU member States shall withdraw authorizations for plant protection products containing metribuzin as an active substance. The non-renewal of approval is based on the first evaluation of the substance for use as a pesticide active substance in the European Union under Regulation (EC) No 1107/2009. The substance was formerly assessed and approved under Directive 91/414/ EEC.In order for an active substance to be approved in accordance with Regulation (EC) No 1107/2009 (concerning the placing of plant protection products on the market), it must be demonstrated that the substance is not harmful to human health, animal health or the environment. Criteria are listed in Article 4 of the Regulation (and also detailed in Annex II thereto) which must be met to enable approval.During the evaluation and peer-review of metribuzin, a number of concerns and areas that could not be finalized were identified. These are detailed in the statement of the European Food Safety Authority (EFSA).Metribuzin meets the criteria in point 3.6.5 of Annex II to Regulation (EC) No 1107/2009 to be identified as an endocrine disruptor for the thyroid (T)-modality for humans and it has not been demonstrated that the exposure of humans to that active substance in a plant protection product, under realistic proposed conditions of use, is negligible.Bystander and resident exposure estimates exceed the established A(AOEL) value for all representative uses evaluated.The available higher tier studies for bees were not sufficient to exclude a high risk to bees.These concerns mean that metribuzin does not meet the approval criteria as outlined in Regulation (EC) No 1107/2009.Existing authorizations will need to be withdrawn; EU member States must withdraw existing plant protection products containing metribuzin at the latest by six months from the date of entry into force. A period of grace in line with Article 46 of Regulation 1107/2009 is allowed for and shall expire at the latest 12 months from the entry into force (allowing for a final season of use); Protection of human health or safety; Protection of animal or plant life or health; Protection of the environmentThis decision only concerns the placing on the market of this substance and plant protection products containing it. Following non-approval and the expiry of all grace periods for stocks of products containing this substance, separate action will likely be taken on MRLs and a separate notification will be made in accordance with SPS procedures.This draft Commission Implementing Regulation was also notified under the TBT Agreement in notice G/TBT/N/EU/1076.</t>
  </si>
  <si>
    <t>Metribuzin (pesticide active substance)</t>
  </si>
  <si>
    <d:r xmlns:d="http://schemas.openxmlformats.org/spreadsheetml/2006/main">
      <d:rPr>
        <d:sz val="11"/>
        <d:rFont val="Calibri"/>
      </d:rPr>
      <d:t xml:space="preserve">https://members.wto.org/crnattachments/2024/SPS/EEC/24_04939_00_e.pdf</d:t>
    </d:r>
  </si>
  <si>
    <t>National Standard of the P.R.C., Minimum allowable values of energy efficiency and energy efficiency grades for AC-DC and AC-AC power supplies</t>
  </si>
  <si>
    <t xml:space="preserve">This document specifies the technical requirements and test methods for power supplies converting AC voltage to low-voltage DC (not more than 60V) or low-voltage AC (not more than 42.4V) output voltage under the conditions of 220V and 50Hz power supply._x000D_
This document applies to external power supplies with rated output power of no more than 500W and internal power supplies with rated output power of no more than 3000W for microcomputer system equipment and servers.</t>
  </si>
  <si>
    <t>External and internal power supplies (HS code(s): 8504; 8543); (ICS code(s): 27.010)</t>
  </si>
  <si>
    <t>8504 - Electrical transformers, static converters, e.g. rectifiers, and inductors; parts thereof; 8543 - Electrical machines and apparatus, having individual functions, n.e.s. in chapter 85 and parts thereof</t>
  </si>
  <si>
    <d:r xmlns:d="http://schemas.openxmlformats.org/spreadsheetml/2006/main">
      <d:rPr>
        <d:sz val="11"/>
        <d:rFont val="Calibri"/>
      </d:rPr>
      <d:t xml:space="preserve">https://members.wto.org/crnattachments/2024/TBT/CHN/24_04950_00_x.pdf</d:t>
    </d:r>
  </si>
  <si>
    <t>Draft law "On plant health”</t>
  </si>
  <si>
    <t>The draft law aims to determine the rules for determining phytosanitary risks from pests and to guarantee the protection of the plants health, plant products and other objects in Albania. The main purpose of this draft law is to take care of the health and conservation of these important resources, as well as to prevent the entry and spread of quarantine and regulated non-quarantine pests in the territory of the country.This measure aims to ensure that plants, plant products and other objects are protected from pests that can destroy these resources or reduce their quality. This is an important step in conserving biodiversity and securing natural resources that are essential for food, the environment and the economy.To achieve this goal, this draft law aims to create a strong and effective legal basis to protect the health of plants, plant products and other objects. In particular, this draft law aims to ensure an effective system of monitoring and control of pests, as well as to establish the necessary measures to prevent their entry into the country's territory.This draft law considered as an important link in the food chain and in the preservation of the environment. Through the rules and measures defined in this draft law, it is intended to ensure that plants and plant products are safe and healthy for consumers and remain sustainable resources for the future.The draft law "On plant health" is approximation of the Regulation (EU) 2016/2031.</t>
  </si>
  <si>
    <t>Plants, plants products and other objects</t>
  </si>
  <si>
    <d:r xmlns:d="http://schemas.openxmlformats.org/spreadsheetml/2006/main">
      <d:rPr>
        <d:sz val="11"/>
        <d:rFont val="Calibri"/>
      </d:rPr>
      <d:t xml:space="preserve">https://members.wto.org/crnattachments/2024/SPS/ALB/24_04965_00_x.pdf</d:t>
    </d:r>
  </si>
  <si>
    <t>Draft partial amendment of the Enforcement Rule of the Act on Registration and Evaluation of Chemical Substances</t>
  </si>
  <si>
    <t xml:space="preserve">- Name of Law: “Draft partial amendment of the Enforcement Rule of the Act on Registration and Evaluation of Chemical Substances”- Major Contents: _x000D_
A. When some part of registration dossier is waived and is not submitted pursuant to paragraph 1 of Article 14 of the Act on Registration and Evaluation of Chemical Substances (hereinafter referred to as “the Act”) and Article 13 of the Enforcement Decree of the Act (hereinafter referred to as “the Enforcement Decree”), the potential registrant may not submit the entire or some of evidence data. (Please refer to Article 5(1)5, and subparagraph 1, 2 and 3 of Article 5(1)5 of the Enforcement Rule.)B. The Enforcement Rule, as a subordinate law, is amended as follows, corresponding to the amended Enforcement Decree in which states chemical substances manufactured by recycling wastes according to Article 2(1) of the Wastes Control Act are exempted from notification or registration pursuant to Article 11 of the Act:_x000D_
- Stating application cycle for confirmation of exemption from registration, etc. of chemical substances that are manufactured by recycling wastes (Please refer to Article 7(4) and Article 7(4)2 of the Enforcement Rule.); and_x000D_
- Specifying how to prepare the data that are required for confirmation of exemption from registration, etc. of chemical substances manufactured by recycling wastes. (Please refer to subparagraph 7 of paragraph 2 of Attachment 5 of the Enforcement Rule.)C. More information will be provided to those apply for registration of chemical substances when the government informs whether their applications are accepted or not, in accordance with Article 16(2) of the Act and Article 20 of the Enforcement Rule. (Please refer to Form No. 13 of the Attachment of the Enforcement Rule)</t>
  </si>
  <si>
    <t>Product containing new or existing chemical substance(s)</t>
  </si>
  <si>
    <t xml:space="preserve">Not specified  (TBT)</t>
  </si>
  <si>
    <d:r xmlns:d="http://schemas.openxmlformats.org/spreadsheetml/2006/main">
      <d:rPr>
        <d:sz val="11"/>
        <d:rFont val="Calibri"/>
      </d:rPr>
      <d:t xml:space="preserve">https://members.wto.org/crnattachments/2024/TBT/KOR/24_04929_00_x.pdf</d:t>
    </d:r>
  </si>
  <si>
    <t>Decision on the withdrawal of approval of the active substance indoxacarb in GB </t>
  </si>
  <si>
    <t>The decision has been published on 26/07/2024 and will enter into force on 31/08/2024. The grace periods, in accordance with Art. 21 (7) of Assimilated Regulation 1107/2009, authorisations of existing products should be phased out so that:advertisement, sale and supply of each product are allowed until 28/02/2025;storage, disposal and use are allowed until 28/02/2026.</t>
  </si>
  <si>
    <t>Indoxacarb (pesticide active substance); Pesticides and other agrochemicals (ICS code(s): 65.100)</t>
  </si>
  <si>
    <t>65.100 - Pesticides and other agrochemicals; 65.100 - Pesticides and other agrochemicals</t>
  </si>
  <si>
    <t>Protection of human health or safety (TBT); Protection of animal or plant life or health (TBT); Protection of the environment (TBT)</t>
  </si>
  <si>
    <d:r xmlns:d="http://schemas.openxmlformats.org/spreadsheetml/2006/main">
      <d:rPr>
        <d:sz val="11"/>
        <d:rFont val="Calibri"/>
      </d:rPr>
      <d:t xml:space="preserve">Decision to withdraw approval of the active substance indoxacarb in Great Britain:
https://www.hse.gov.uk/pesticides/assets/docs/pnas-aapx-0678.pdf
The decision document can be found in The GB approvals register -
https://www.hse.gov.uk/pesticides/assets/docs/active-substance-register.xlsx
</d:t>
    </d:r>
  </si>
  <si>
    <t xml:space="preserve">Proposed High-Priority Substance Designations Under the Toxic 
Substances Control Act (TSCA); Notice of Availability</t>
  </si>
  <si>
    <t xml:space="preserve">Notice - Under the Toxic Substances Control Act (TSCA) and related 
implementing regulations, the Environmental Protection Agency (EPA or 
Agency) is proposing to designate acetaldehyde (CASRN 75-07-0), 
acrylonitrile (CASRN 107-13-1), benzenamine (CASRN 62-53-3), vinyl 
chloride (CASRN 75-01-4), and 4,4-methylene bis(2-chloroaniline) 
(MBOCA) (CASRN 101-14-4) as High-Priority Substances for risk 
evaluation. EPA is providing a 90-day comment period, during which 
interested persons may submit comments on the proposed designations of 
these chemicals as High-Priority Substances for risk evaluation.</t>
  </si>
  <si>
    <t>High priority chemical substances; Environmental protection (ICS code(s): 13.020); Production in the chemical industry (ICS code(s): 71.020); Products of the chemical industry (ICS code(s): 71.100)</t>
  </si>
  <si>
    <d:r xmlns:d="http://schemas.openxmlformats.org/spreadsheetml/2006/main">
      <d:rPr>
        <d:sz val="11"/>
        <d:rFont val="Calibri"/>
      </d:rPr>
      <d:t xml:space="preserve">https://members.wto.org/crnattachments/2024/TBT/USA/24_04923_00_e.pdf</d:t>
    </d:r>
  </si>
  <si>
    <t>Ministerial Order to Provide Technical Standards about facilities for exploratory drilling sites for CO2 storage</t>
  </si>
  <si>
    <t xml:space="preserve">The Act on Carbon Dioxide Storage Business stipulates that storage business operators maintain CO2 storage facilities to ensure that they conform to the technical standards established by Order of the Ministry of Economy, Trade and Industry._x000D_
We will enact a Ministerial Order to Provide Technical Standards about facilities for exploratory drilling sites for CO2 storage based on the Act on Carbon Dioxide Storage Business to maintain public safety and prevent the occurrence of accidents, similar to the standards mandated by the Mine Safety Act._x000D_
</t>
  </si>
  <si>
    <t>・Drilling machine・Storage facility of gunpowder</t>
  </si>
  <si>
    <t>843049 - Boring or sinking machinery for boring earth or extracting minerals or ores, not self-propelled and not hydraulic (excl. tunnelling machinery and hand-operated tools); 843143 - Parts for boring or sinking machinery of subheading 8430.41 or 8430.49, n.e.s.</t>
  </si>
  <si>
    <d:r xmlns:d="http://schemas.openxmlformats.org/spreadsheetml/2006/main">
      <d:rPr>
        <d:sz val="11"/>
        <d:rFont val="Calibri"/>
      </d:rPr>
      <d:t xml:space="preserve">https://members.wto.org/crnattachments/2024/TBT/JPN/24_04931_00_e.pdf</d:t>
    </d:r>
  </si>
  <si>
    <t>Proposal for Legal Inspection Requirements for Stationary Lithium Battery Storage Appliances</t>
  </si>
  <si>
    <t>To achieve net-zero carbon emissions by 2050, it is expected that renewable energy power generation equipment and energy storage systems will gradually enter households. Due to the risks associated with thermal runaway in lithium-ion batteries used in energy storage systems,  the BSMI proposes to add stationary lithium battery storage appliances into the mandatory inspection scope. Two alternative conformity assessment procedures are made available for the choice of applicants, i.e. Registration of Product Certification (RPC) or Type-Approved Batch Inspection (TABI).</t>
  </si>
  <si>
    <t>Static converters (HS code(s): 850440); Lithium-ion accumulators (excl. spent) (HS code(s): 850760); Electric accumulators (excl. spent, and lead-acid, nickel-cadmium, nickel-metal hydride and lithium-ion accumulators) (HS code(s): 850780)</t>
  </si>
  <si>
    <t>850440 - Static converters; 850760 - Lithium-ion accumulators (excl. spent); 850780 - Electric accumulators (excl. spent, and lead-acid, nickel-cadmium, nickel-metal hydride and lithium-ion accumulators)</t>
  </si>
  <si>
    <d:r xmlns:d="http://schemas.openxmlformats.org/spreadsheetml/2006/main">
      <d:rPr>
        <d:sz val="11"/>
        <d:rFont val="Calibri"/>
      </d:rPr>
      <d:t xml:space="preserve">https://members.wto.org/crnattachments/2024/TBT/TPKM/24_04925_00_e.pdf
https://members.wto.org/crnattachments/2024/TBT/TPKM/24_04925_00_x.pdf</d:t>
    </d:r>
  </si>
  <si>
    <t>Standards for Accessible Medical Diagnostic Equipment </t>
  </si>
  <si>
    <t xml:space="preserve">The Architectural and Transportation Barriers Compliance Board (hereafter, “Access Board” or “Board”), is issuing this final rule to remove the sunset provisions in the Board's existing accessibility standards for medical diagnostic equipment related to the low height specifications for transfer surfaces, and replace them with a final specification for the low transfer height of medical diagnostic equipment used in the supine, prone, side-lying, and the seated position.The final rule is effective 23 September 2024.89 Federal Register (FR) 60307, 25 July 2024; Title 36 Code of Federal Regulations (CFR) Part 1195_x000D_
https://www.govinfo.gov/content/pkg/FR-2024-07-25/html/2024-16266.htm_x000D_
https://www.govinfo.gov/content/pkg/FR-2024-07-25/pdf/2024-16266.pdf_x000D_
This final rule and related actions notified under the symbol G/TBT/N/USA/1260/Rev.1 are identified by Docket Number ATBCB-2023-0001. The Docket Folder is available on Regulations.gov at https://www.regulations.gov/docket/ATBCB-2023-0001/document and provides access to primary and supporting documents as well as comments received. Documents are also accessible from Regulations.gov by searching the Docket Number. _x000D_
</t>
  </si>
  <si>
    <t>Medical diagnostic equipment; Medical equipment (ICS code(s): 11.040)</t>
  </si>
  <si>
    <t>11.040 - Medical equipment; 11.040 - Medical equipment</t>
  </si>
  <si>
    <d:r xmlns:d="http://schemas.openxmlformats.org/spreadsheetml/2006/main">
      <d:rPr>
        <d:sz val="11"/>
        <d:rFont val="Calibri"/>
      </d:rPr>
      <d:t xml:space="preserve">https://members.wto.org/crnattachments/2024/TBT/USA/final_measure/24_04920_00_e.pdf</d:t>
    </d:r>
  </si>
  <si>
    <t>Draft Resolution of the Cabinet of Ministers of Ukraine “On Amendments to Certain Resolutions of the Cabinet of Ministers of Ukraine regarding Technical Regulation”</t>
  </si>
  <si>
    <t>Ukraine notifies the adoption of the Resolution of the Cabinet of Ministers of Ukraine No 846 “On Amendments to Certain Resolutions of the Cabinet of Ministers of Ukraine regarding Technical Regulation” of 23 July 2024.The Resolution  was published on 25 July 2024  and will enter into force on 25 January 2025.</t>
  </si>
  <si>
    <t>Low-voltage electrical equipment, apparatus and fixed installation </t>
  </si>
  <si>
    <t>29 - ELECTRICAL ENGINEERING; 29 - ELECTRICAL ENGINEERING</t>
  </si>
  <si>
    <t>Protection of human health or safety (TBT); Quality requirements (TBT); Harmonization (TBT)</t>
  </si>
  <si>
    <d:r xmlns:d="http://schemas.openxmlformats.org/spreadsheetml/2006/main">
      <d:rPr>
        <d:sz val="11"/>
        <d:rFont val="Calibri"/>
      </d:rPr>
      <d:t xml:space="preserve">https://members.wto.org/crnattachments/2024/TBT/UKR/final_measure/24_04901_00_x.pdf</d:t>
    </d:r>
  </si>
  <si>
    <t>Proposal P1055 - Definitions for gene technology and new breeding techniques – 2nd Call for Submissions and Supporting documents</t>
  </si>
  <si>
    <t>Proposal P1055 proposes to amend the definitions for ‘food produced using gene technology’ and ‘gene technology’ in the Australia New Zealand Food Standards Code (the Code) to ensure it is clear what foods are genetically modified (GM) for Code purposes, while also ensuring that foods are regulated according to the risk they pose. FSANZ has prepared a draft variation to the Code, which extends across six food standards and four schedules. Key aspects include:Repealing the existing definitions for ‘food produced using gene technology’ and ‘gene technology’ and replacing them with a new definition for ‘genetically modified food’ based around the presence of novel DNA in the organism from which the food is derived;Explicit exclusions from the GM food definition for substances added to food, substances used in cell culture media for the production of cell-cultured food, and food from null segregant organisms and grafted plants;New definitions for ‘novel DNA’, ‘novel protein’ and ‘null segregant’.The primary objective of the Proposal is to ensure clarity on which foods are GM foods for Code purposes, while also accommodating new and emerging technologies for genetic modification and changes in the international regulatory context. The proposed amendments would provide a clear definition for GM food for enforcement purposes and reduce uncertainty about which foods require pre-market assessment as GM foods, while continuing to protect public health and safety.No transition period is proposed. The proposed variations to the six Standards and four Schedules are:unlikely to have any impact on products currently on the market; or are deregulatory in nature and provide exemptions to current requirements for products on the market.The standard 12 month stock in trade provisions in the Australia New Zealand Food Standards Code will apply.We are notifying other aspects of these measures under the Technical Barriers to Trade Agreement.</t>
  </si>
  <si>
    <t>Genetically modified food and food derived from new breeding techniques (NBTs)</t>
  </si>
  <si>
    <d:r xmlns:d="http://schemas.openxmlformats.org/spreadsheetml/2006/main">
      <d:rPr>
        <d:sz val="11"/>
        <d:rFont val="Calibri"/>
      </d:rPr>
      <d:t xml:space="preserve">https://www.foodstandards.gov.au/food-standards-code/proposals/p1055-definitions-for-gene-technology-and-new-breeding-techniques 
</d:t>
    </d:r>
  </si>
  <si>
    <t xml:space="preserve">In this document, the Federal Communications Commission (Commission or FCC) establishes a voluntary cybersecurity labeling program for wireless consumer Internet of Things, or IoT, products. The program will provide consumers with an easy-to-understand and quickly recognizable FCC IoT Label that includes the U.S. Cyber Trust Mark and a QR code linked to a dynamic, decentralized, publicly available registry of more detailed cybersecurity information. This program will help consumers make safer purchasing decisions, raise consumer confidence regarding the cybersecurity of the IoT products they buy, and encourage manufacturers to develop IoT products with security-by- design principles in mind.Effective date: This rule is effective 29 August 2024.    Incorporation by reference: The incorporation by reference of certain material listed in the rule is approved by the Director of the Federal Register as of 29 August 2024.    Compliance date: Compliance with 47 CFR 8.208, 8.209, 8.212, 8.214, 8.215, 8.217, 8.218, 8.219, 8.220, 8.221, and 8.222 (eCFR: 47 CFR Part 8 -- Safeguarding and Securing the Open Internet) will not be required until the Office of Management and Budget has completed review under the Paperwork Reduction Act. The Commission will publish a document in the Federal Register announcing that compliance date.89 Federal Register (FR) 61242, Title 47 Code of Federal Regulations (CFR) Subchapter A_x000D_
https://www.govinfo.gov/content/pkg/FR-2024-07-30/html/2024-14148.htm_x000D_
https://www.govinfo.gov/content/pkg/FR-2024-07-30/pdf/2024-14148.pdf_x000D_
https://docs.fcc.gov/public/attachments/FCC-24-26A1.pdfThis current and previous actions notified under the symbol G/TBT/N/USA/2041 are identified by PS Docket No. 23-239. The Docket Folder is available from the FCC's Electronic Document Management System (EDOCS) at https://www.fcc.gov/edocs/search-results?t=quick&amp;dockets=23-239 and provides access to associated documents. Filings on the proceeding are accessible at https://www.fcc.gov/ecfs/search/search-filings/results?q=(proceedings.name:(%2223-239%22))</t>
  </si>
  <si>
    <d:r xmlns:d="http://schemas.openxmlformats.org/spreadsheetml/2006/main">
      <d:rPr>
        <d:sz val="11"/>
        <d:rFont val="Calibri"/>
      </d:rPr>
      <d:t xml:space="preserve">https://members.wto.org/crnattachments/2024/TBT/USA/final_measure/24_04937_00_e.pdf
https://members.wto.org/crnattachments/2024/TBT/USA/final_measure/24_04937_01_e.pdf</d:t>
    </d:r>
  </si>
  <si>
    <t>Indutech (Quality Control) Order, 2024</t>
  </si>
  <si>
    <t>Indutech (Quality Control) Order, 2024 - (copy of the draft QCO attached)</t>
  </si>
  <si>
    <t>IS 15041:2001 TEXTILES — Flat woven webbing slings made of man-made fibres for general services</t>
  </si>
  <si>
    <t>Protection of animal or plant life or health (TBT); Protection of the environment (TBT); Quality requirements (TBT)</t>
  </si>
  <si>
    <d:r xmlns:d="http://schemas.openxmlformats.org/spreadsheetml/2006/main">
      <d:rPr>
        <d:sz val="11"/>
        <d:rFont val="Calibri"/>
      </d:rPr>
      <d:t xml:space="preserve">https://members.wto.org/crnattachments/2024/TBT/IND/24_04917_00_e.pdf</d:t>
    </d:r>
  </si>
  <si>
    <t>Letter by the Federal Service for Veterinary and Phytosanitary Surveillance No. FS-ARe-7/6052-3 of 30 July 2024</t>
  </si>
  <si>
    <t>The Federal Service for Veterinary and Phytosanitary Surveillance (Rosselkhoznadzor) introduced a temporary restriction on import and transportation through the territory of the Russian Federation of live sheep and goats; products produced from meat of sheep and goats from Romania due to the outbreak of ovine rinderpest.</t>
  </si>
  <si>
    <t>Live sheep and goats; products produced from meat of sheep and goats; milk and milk products; feed of animal origin and other raw materials and products obtained from sheep and goats slaughter with exception of production subject to the use of technologies providing destruction of PPR in accordance with the provisions of Chapter 14.7 of the OIE Terrestrial Animal Health Code (HS code(s): 0104; 0106; 0204; 0206; 0210; 0401; 0402; 0403; 0404; 0405; 0406; 0506; 0507; 051199; 1502; 1503; 1505; 1506; 151610; 1518; 1601; 1602; 1603; 190220)</t>
  </si>
  <si>
    <d:r xmlns:d="http://schemas.openxmlformats.org/spreadsheetml/2006/main">
      <d:rPr>
        <d:sz val="11"/>
        <d:rFont val="Calibri"/>
      </d:rPr>
      <d:t xml:space="preserve">https://members.wto.org/crnattachments/2024/SPS/RUS/24_04936_00_x.pdf
https://fsvps.gov.ru/files/ukazanie-rosselhoznadzora-ot-30-ijulja-2024-goda-fs-arje-7-6052-3/</d:t>
    </d:r>
  </si>
  <si>
    <t>The Ministry of Public Health Notification, No. 451 B.E. 2567 (2024) entitled "Edible Fats and Oils" (No.2).</t>
  </si>
  <si>
    <t>The Draft Ministry of Public Health notification entitled "Edible Fats and Oils" (No.2) previously notified in G/TBT/N/THA/723 dated 26 January 2024 was published in the Royal Gazette dated 30 July 2024 as Notification of the Ministry of Public Health No. 451.Date of entry into force: 31 July 2024 (This notification shall come into force after the day following date of its publication in the Royal Gazette.)Thailand TBT Enquiry Point for Agricultural Commodity and FoodNational Bureau of Agricultural Commodity and Food Standards (ACFS)50 Phaholyothin Road, LadyaoChatuchak, Bangkok 10900ThailandTel: +(662) 561 4204Fax: +(662) 561 4034E-mail: spsthailand@gmail.comWebsites: http://www.acfs.go.thhttps://spsthailand.acfs.go.th/th/main </t>
  </si>
  <si>
    <t>Edible fats and Oils (ICS 67.200.10)</t>
  </si>
  <si>
    <t>67.200.10 - Animal and vegetable fats and oils; 67.200.10 - Animal and vegetable fats and oils</t>
  </si>
  <si>
    <d:r xmlns:d="http://schemas.openxmlformats.org/spreadsheetml/2006/main">
      <d:rPr>
        <d:sz val="11"/>
        <d:rFont val="Calibri"/>
      </d:rPr>
      <d:t xml:space="preserve">https://members.wto.org/crnattachments/2024/TBT/THA/final_measure/24_04926_00_x.pdf</d:t>
    </d:r>
  </si>
  <si>
    <t>Ropes and Cordages (Quality Control) Order, 2024</t>
  </si>
  <si>
    <t>Ropes and Cordages (Quality Control) Order, 2024 - (copy of the draft QCO attached)</t>
  </si>
  <si>
    <t>i. IS 1084:2005 Textiles — Manila Ropes —Specification; ii. IS 11066:2022  Fibre Ropes — Polyester — 3-, 4-, 8-and 12- Strand Ropes; iii. IS 14928:2001 Textiles — Composite Synthetic Fibre Ropes — Specification; iv. IS 14929: 2022 Mixed Polyolefin Fibre Ropes; v. IS 1804:2004 Steel Wire Ropes _.- Fibre Main Cores – Specification; vi. IS 4572:2022 Fibre Ropes — Polyamide — 3-, 4-, 8- and 12- Strand Ropes; vii. IS 5175:2022 Fibre Ropes — Polypropylene Split Film, Monofilament And Multifilament ( PP2 ) and Polypropylene High-Tenacity Multifilament ( PP3 ) —3-, 4-, 8- and 12- Strand Ropes; viii. IS 8674 : 2013 Fibre Ropes — Polyethylene —3- And 4-Strand Ropes; ix. IS 17609 : 2021 Fibre Ropes Of Polyester / Polyolefin dual Fibres</t>
  </si>
  <si>
    <d:r xmlns:d="http://schemas.openxmlformats.org/spreadsheetml/2006/main">
      <d:rPr>
        <d:sz val="11"/>
        <d:rFont val="Calibri"/>
      </d:rPr>
      <d:t xml:space="preserve">https://members.wto.org/crnattachments/2024/TBT/IND/24_04918_00_e.pdf</d:t>
    </d:r>
  </si>
  <si>
    <t>Resolución "Por la cual se establecen criterios para el cumplimiento de límites máximos de residuos (LMR) de plaguicidas en productos y subproductos vegetales" (Resolution establishing criteria for compliance with maximum residue levels (MRLs) for pesticides in plant products and by-products)</t>
  </si>
  <si>
    <t>The notified Resolution seeks to establish criteria and references with regard to maximum residue levels (MRLs) for pesticides in plant products and by-products, with a view to protecting consumer health while avoiding unnecessary barriers to trade in such products.</t>
  </si>
  <si>
    <t>Draft Order of the Ministry of Agrarian Policy and Food of Ukraine “On Amendments to the Order of the Ministry of Agrarian Policy and Food of Ukraine of 06 May 2019 No. 241”</t>
  </si>
  <si>
    <t>Ukraine notifies the adoption of the Order of the Ministry of Agrarian Policy and Food of Ukraine No. 1822  “On Amendments to the Order of the Ministry of Agrarian Policy and Food of Ukraine of 06 May 2019 No. 241” of 14 June 2024.The Order was registered in the Ministry of Justice of Ukraine on 01 July 2024 and published on 19 July 2024.The Order entered into force on 19 July 2024.</t>
  </si>
  <si>
    <t>Preparations of a kind used in animal feeding (HS code(s): 2309); Animal feeding stuffs (ICS code(s): 65.120)</t>
  </si>
  <si>
    <t>2309 - Preparations of a kind used in animal feeding; 2309 - Preparations of a kind used in animal feeding</t>
  </si>
  <si>
    <t>65.120 - Animal feeding stuffs; 65.120 - Animal feeding stuffs</t>
  </si>
  <si>
    <t>Consumer information, labelling (TBT); Protection of animal or plant life or health (TBT); Quality requirements (TBT); Harmonization (TBT)</t>
  </si>
  <si>
    <d:r xmlns:d="http://schemas.openxmlformats.org/spreadsheetml/2006/main">
      <d:rPr>
        <d:sz val="11"/>
        <d:rFont val="Calibri"/>
      </d:rPr>
      <d:t xml:space="preserve">https://members.wto.org/crnattachments/2024/TBT/UKR/final_measure/24_04933_00_x.pdf
https://members.wto.org/crnattachments/2024/TBT/UKR/final_measure/24_04933_01_x.pdf
https://zakon.rada.gov.ua/laws/show/z0981-24#Text
https://zakon.rada.gov.ua/laws/show/z0982-24#Text</d:t>
    </d:r>
  </si>
  <si>
    <t>The Draft Food Safety and Standards (Alcoholic Beverages) Amendment Regulations</t>
  </si>
  <si>
    <t>The Draft Food Safety and Standards (Alcoholic Beverages) Amendment Regulations, 2024 is related to revision of standards of   Esters expressed as ethyl acetate  content in fruit wine.</t>
  </si>
  <si>
    <t>Food Products(Alcoholic Beverages)</t>
  </si>
  <si>
    <t>Prevention of deceptive practices and consumer protection (TBT); Other (TBT)</t>
  </si>
  <si>
    <d:r xmlns:d="http://schemas.openxmlformats.org/spreadsheetml/2006/main">
      <d:rPr>
        <d:sz val="11"/>
        <d:rFont val="Calibri"/>
      </d:rPr>
      <d:t xml:space="preserve">https://members.wto.org/crnattachments/2024/TBT/IND/24_04919_00_x.pdf
</d:t>
    </d:r>
  </si>
  <si>
    <t>Proposed Amendments to the Appliance Efficiency Regulations, 22-AAER-04 </t>
  </si>
  <si>
    <t>The Federal and Administrative Updates Rulemaking has now been completed, with an effective date of 18 July 2024.This rulemaking action by the California Energy Commission amends appliance efficiency regulations to update provisions to reflect current federal law, revise the data submittal requirements, and update product compliance review and administrative proceeding procedures.  See the documents posted to the Docket Log for full details, accessible at  https://efiling.energy.ca.gov/Lists/DocketLog.aspx?docketnumber=22-AAER-04</t>
  </si>
  <si>
    <t>Appliance efficiency; Quality (ICS code(s): 03.120); Environmental protection (ICS code(s): 13.020); Domestic electrical appliances in general (ICS code(s): 97.030)</t>
  </si>
  <si>
    <t>03.120 - Quality; 13.020 - Environmental protection; 97.030 - Domestic electrical appliances in general; 03.120 - Quality; 13.020 - Environmental protection; 97.030 - Domestic electrical appliances in general</t>
  </si>
  <si>
    <t>Consumer information, labelling (TBT); Protection of the environment (TBT); Quality requirements (TBT)</t>
  </si>
  <si>
    <d:r xmlns:d="http://schemas.openxmlformats.org/spreadsheetml/2006/main">
      <d:rPr>
        <d:sz val="11"/>
        <d:rFont val="Calibri"/>
      </d:rPr>
      <d:t xml:space="preserve">https://members.wto.org/crnattachments/2024/TBT/USA/final_measure/24_04924_00_e.pdf
https://members.wto.org/crnattachments/2024/TBT/USA/final_measure/24_04924_01_e.pdf
https://members.wto.org/crnattachments/2024/TBT/USA/final_measure/24_04924_02_e.pdf
https://efiling.energy.ca.gov/Lists/DocketLog.aspx?docketnumber=22-AAER-04</d:t>
    </d:r>
  </si>
  <si>
    <t>Cambodian Technical Regulation CTR 150:2024 on Methanol in Rice Liquor </t>
  </si>
  <si>
    <t>This technical regulation shall apply to rice liquor containing methanol at levels less than or equal to 2,000 mg per liter of alcohol. This regulation mandates that any person who produces, processes, imports, advertises, or sells rice wine must comply with this requirement. </t>
  </si>
  <si>
    <t>The Ministry of Public Health Notification, No. 452 B.E. 2567 (2024) entitled "Fish oils" (No.2).</t>
  </si>
  <si>
    <t>The Draft Ministry of Public Health notification entitled "Fish oils" (No.2) previously notified in G/TBT/N/THA/724 dated 26 January 2024 was published in the Royal Gazette dated 30 July 2024 as Notification of the Ministry of Public Health No. 452.Date of entry into force: 31 July 2024 (This notification shall come into force after the day following date of its publication in the Royal Gazette.)Thailand TBT Enquiry Point for Agricultural Commodity and FoodNational Bureau of Agricultural Commodity and Food Standards (ACFS)50 Phaholyothin Road, LadyaoChatuchak, Bangkok 10900ThailandTel: +(662) 561 4204Fax: +(662) 561 4034E-mail: spsthailand@gmail.comWebsites: http://www.acfs.go.thhttps://spsthailand.acfs.go.th/th/main </t>
  </si>
  <si>
    <t>Fish oils</t>
  </si>
  <si>
    <t>1504 - Fats and oils and their fractions of fish or marine mammals, whether or not refined (excl. chemically modified); 1504 - Fats and oils and their fractions of fish or marine mammals, whether or not refined (excl. chemically modified)</t>
  </si>
  <si>
    <d:r xmlns:d="http://schemas.openxmlformats.org/spreadsheetml/2006/main">
      <d:rPr>
        <d:sz val="11"/>
        <d:rFont val="Calibri"/>
      </d:rPr>
      <d:t xml:space="preserve">https://members.wto.org/crnattachments/2024/TBT/THA/final_measure/24_04927_00_x.pdf</d:t>
    </d:r>
  </si>
  <si>
    <t xml:space="preserve">American Society of Mechanical Engineers Code Cases and Update 
Frequency; Correction</t>
  </si>
  <si>
    <t xml:space="preserve">The U.S. Nuclear Regulatory Commission (NRC) is correcting a &gt;final rule (notified as G/TBT/N/USA/1974/Add.2) that was published in the Federal Register on 17 July 2024, 
regarding changes to its regulations to incorporate by reference 
revisions of three regulatory guides, which would approve new, revised, 
and reaffirmed code cases published by the American Society of 
Mechanical Engineers. This action is necessary to correct a misspelled 
word, a grammatical error, an amendatory instruction, and footnote 
references.&gt;The correction is effective 16 August 2024.89 Federal Register (FR) 60795, Title 10 Code of Federal Regulations (CFR) Part 50_x000D_
https://www.govinfo.gov/content/pkg/FR-2024-07-29/html/2024-16404.htm_x000D_
https://www.govinfo.gov/content/pkg/FR-2024-07-29/pdf/2024-16404.pdfThis final rule; correction and previous actions notified under the symbol G/TBT/N/USA/1974 are identified by Docket Number NRC-2018-0291. The Docket Folder is available on Regulations.gov at https://www.regulations.gov/docket/NRC-2018-0291/document and provides access to primary and supporting documents (including the referenced regulatory guides) as well as comments received. Documents are also accessible from Regulations.gov by searching the Docket Number._x000D_
</t>
  </si>
  <si>
    <t>Nuclear power plant components; Environmental protection (ICS code(s): 13.020); Nuclear energy engineering (ICS code(s): 27.120)</t>
  </si>
  <si>
    <t>13.020 - Environmental protection; 13.020 - Environmental protection; 13.020 - Environmental protection; 27.120 - Nuclear energy engineering; 27.120 - Nuclear energy engineering; 27.120 - Nuclear energy engineering</t>
  </si>
  <si>
    <d:r xmlns:d="http://schemas.openxmlformats.org/spreadsheetml/2006/main">
      <d:rPr>
        <d:sz val="11"/>
        <d:rFont val="Calibri"/>
      </d:rPr>
      <d:t xml:space="preserve">https://members.wto.org/crnattachments/2024/TBT/USA/24_04922_00_e.pdf</d:t>
    </d:r>
  </si>
  <si>
    <t>H Acid (Quality Control) Order, 2024</t>
  </si>
  <si>
    <t>H Acid (HS Code -  29222160)</t>
  </si>
  <si>
    <t>292221 - Aminohydroxynaphthalenesulphonic acids and their salts; 292221 - Aminohydroxynaphthalenesulphonic acids and their salts</t>
  </si>
  <si>
    <d:r xmlns:d="http://schemas.openxmlformats.org/spreadsheetml/2006/main">
      <d:rPr>
        <d:sz val="11"/>
        <d:rFont val="Calibri"/>
      </d:rPr>
      <d:t xml:space="preserve">https://members.wto.org/crnattachments/2024/TBT/IND/24_04915_00_e.pdf</d:t>
    </d:r>
  </si>
  <si>
    <t>Norma General que Modifica la Norma General Num. 07-2021 sobre los Mecanismos de Control y Seguridad Fiscal para Fabricantes, Productores e Importadores de Productos Terminados del Alcohol y del Tabaco (General Standard amending General Standard No. 07-2021 on fiscal control and security mechanisms for manufacturers, producers and importers of finished alcohol and tobacco products) (10 pages, in Spanish)</t>
  </si>
  <si>
    <t xml:space="preserve">Reasons for the emergency notification on the General Standard amending General Standard No. 07-2021 on fiscal control and security mechanisms for manufacturers, producers and importers of finished alcohol and tobacco products. 1. The notified General Standard seeks to exclude importers of finished alcohol products made by manufacturers that are not covered by the free zone regime, from the scope of General Standard No. 07-2021 on fiscal control and security mechanisms for manufacturers, producers and importers of finished alcohol and G/TBT/N/DOM/232/Add.1/Rev.1 - 2 -   tobacco products. It also sets out the fiscal controls that will be applicable to them.</t>
  </si>
  <si>
    <t>Beverages, spirits and vinegar (HS code(s): 22); Tobacco and manufactured tobacco substitutes (HS code(s): 24); Agriculture (ICS code(s): 65); Tobacco, tobacco products and related equipment (ICS code(s): 65.160); Food technology (ICS code(s): 67); Alcoholic beverages (ICS code(s): 67.160.10)</t>
  </si>
  <si>
    <t>22 - BEVERAGES, SPIRITS AND VINEGAR; 24 - TOBACCO AND MANUFACTURED TOBACCO SUBSTITUTES</t>
  </si>
  <si>
    <t>65 - AGRICULTURE; 65.160 - Tobacco, tobacco products and related equipment; 67 - FOOD TECHNOLOGY; 67.160.10 - Alcoholic beverages</t>
  </si>
  <si>
    <t>National security requirements (TBT); Consumer information, labelling (TBT); Prevention of deceptive practices and consumer protection (TBT); Protection of human health or safety (TBT)</t>
  </si>
  <si>
    <d:r xmlns:d="http://schemas.openxmlformats.org/spreadsheetml/2006/main">
      <d:rPr>
        <d:sz val="11"/>
        <d:rFont val="Calibri"/>
      </d:rPr>
      <d:t xml:space="preserve">https://members.wto.org/crnattachments/2024/TBT/DOM/24_04903_00_s.pdf</d:t>
    </d:r>
  </si>
  <si>
    <t>Draft Resolution of the Cabinet of Ministers of Ukraine "On Approval of the Technical Regulation on Ecodesign Requirements for Welding Equipment"</t>
  </si>
  <si>
    <t>Ukraine notifies the adoption of the Resolution of the Cabinet of Ministers of Ukraine No 845 "On Approval of the Technical Regulation on Ecodesign Requirements for Welding Equipment"  of 23 July 2024.The Resolution  was published on 26 July 2024  and will enter into force six months from the date of termination or cancellation of martial law in Ukraine.</t>
  </si>
  <si>
    <t>Electrical mains-operated welding equipment using one or more of the following welding and allied processes: manual metal arc welding; gas-shielded metal arc welding; self-shielded flux-cored welding; flux cored arc welding; metal active gas and metal inert gas welding; tungsten inert gas welding; plasma arc cutting</t>
  </si>
  <si>
    <t>25.160.30 - Welding equipment; 25.160.30 - Welding equipment</t>
  </si>
  <si>
    <t>Consumer information, labelling (TBT); Protection of human health or safety (TBT); Protection of the environment (TBT); Harmonization (TBT)</t>
  </si>
  <si>
    <d:r xmlns:d="http://schemas.openxmlformats.org/spreadsheetml/2006/main">
      <d:rPr>
        <d:sz val="11"/>
        <d:rFont val="Calibri"/>
      </d:rPr>
      <d:t xml:space="preserve">https://members.wto.org/crnattachments/2024/TBT/UKR/final_measure/24_04906_00_e.pdf
https://members.wto.org/crnattachments/2024/TBT/UKR/final_measure/24_04906_00_x.pdf
https://members.wto.org/crnattachments/2024/TBT/UKR/final_measure/24_04906_01_x.pdf</d:t>
    </d:r>
  </si>
  <si>
    <t>Revision of the Order for Enforcement of the Act on the Evaluation of Chemical Substances and Regulation of Their Manufacture, etc.</t>
  </si>
  <si>
    <t>To prevent environmental pollution by PFHxS, its isomers or these salts, which are potentially hazardous substances because of their non-biodegradability, high degree of bioaccumulation potential, and chronic toxicity, they were designated as Class I Specified Chemical Substances under the Order for Enforcement of the Act on the Evaluation of Chemical Substances and Regulation of Their Manufacture, etc. from 1 February 2024. This amendment is based on the decision at the 10th Conference of the Parties to the Stockholm Convention on Persistent Organic Pollutants in 2022. Also, to prevent environmental pollution, products in which PFHxS, its isomers or these salts are used were prohibited from being imported from 1 June 2024.The information of the revision is available on the following website.https://www.meti.go.jp/policy/chemical_management/kasinhou/todoke/import_notice_240307.pdf</t>
  </si>
  <si>
    <t>The following chemical substancesPerfluoro (hexane-1-sulfonic acid) (PFHxS), its isomers or these saltsThe following products in which PFHxS, its isomers or these salts are used1. Water-repellent textiles and oil-repellent textiles2. Etching agents used for metal processing3. Etchants used in the manufacture of semiconductors4. Surface treatment agents for plating or such preparation additives5. Antireflection agents used in semiconductor manufacturing6. Resists for semiconductor7. Water repellent, oil repellent and fabric protection agents8. Fire extinguishers, fire-extinguishing agents, and fire-extinguishing foam9. Water-repellent clothes and oil-repellent clothes10. Water-repellent floor coverings and oil-repellent floor coverings</t>
  </si>
  <si>
    <d:r xmlns:d="http://schemas.openxmlformats.org/spreadsheetml/2006/main">
      <d:rPr>
        <d:sz val="11"/>
        <d:rFont val="Calibri"/>
      </d:rPr>
      <d:t xml:space="preserve">https://www.meti.go.jp/english/press/2023/1128_002.html
</d:t>
    </d:r>
  </si>
  <si>
    <t xml:space="preserve">Corporate Average Fuel Economy Standards for Passenger Cars and 
Light Trucks for Model Years 2027-2032 and Fuel Efficiency Standards 
for Heavy-Duty Pickup Trucks and Vans for Model Years 2030-2035; 
Correction</t>
  </si>
  <si>
    <t xml:space="preserve">This document corrects technical errors in the final rule (notified as G/TBT/N/USA/2037/Add.2) that 
appeared in the Federal Register on 24 June 2024, entitled “Corporate 
Average Fuel Economy Standards for Passenger Cars and Light Trucks for 
Model Years 2027-2032 and Fuel Efficiency Standards for Heavy-Duty 
Pickup Trucks and Vans for Model Years 2030-2035.” That document 
finalized new Corporate Average Fuel Economy (CAFE) standards for 
passenger cars and light trucks to be manufactured in model years (MYs) 
2027-2031, and new fuel efficiency standards for heavy-duty pickup 
trucks and vans (HDPUVs) to be manufactured in MYs 2030-2035.&gt;This rule is effective 23 August 2024.89 Federal Register (FR) 60832, Title 49 Code of Federal Regulations (CFR) Parts 523531533535536, and 537_x000D_
https://www.govinfo.gov/content/pkg/FR-2024-07-29/html/2024-16240.htm_x000D_
https://www.govinfo.gov/content/pkg/FR-2024-07-29/pdf/2024-16240.pdfThis final rule; correction and other actions notified under the symbol G/TBT/N/USA/2037 are identified by Docket Number NHTSA-2023-0022. The Docket Folder is available from Regulations.gov at https://www.regulations.gov/docket/NHTSA-2023-0022/document and provides access to primary and supporting documents as well as comments received. Documents are also accessible from Regulations.gov by searching the Docket Number.</t>
  </si>
  <si>
    <t xml:space="preserve">Passenger cars, light trucks, and heavy-duty pickup trucks and vans; Motor vehicles for the transport of &gt;= 10 persons, incl. driver, with only diesel engine (HS code(s): 870210); Motor vehicles for the transport of &gt;= 10 persons, incl. driver, with both spark-ignition internal combustion reciprocating piston engine and electric motor as motors for propulsion (HS code(s): 870230); Motor cars and other motor vehicles principally designed for the transport of </t>
  </si>
  <si>
    <t>870210 - Motor vehicles for the transport of &gt;= 10 persons, incl. driver, with only diesel engine; 870230 - Motor vehicles for the transport of &gt;= 10 persons, incl. driver, with both spark-ignition internal combustion reciprocating piston engine and electric motor as motors for propulsion; 8703 - Motor cars and other motor vehicles principally designed for the transport of &lt;10 persons, incl. station wagons and racing cars (excl. motor vehicles of heading 8702); 8709 - Works trucks, self-propelled, not fitted with lifting or handling equipment, of the type used in factories, warehouses, dock areas or airports for short distance transport of goods; tractors of the type used on railway station platforms; parts of the foregoing vehicles, n.e.s.; 8709 - Works trucks, self-propelled, not fitted with lifting or handling equipment, of the type used in factories, warehouses, dock areas or airports for short distance transport of goods; tractors of the type used on railway station platforms; parts of the foregoing vehicles, n.e.s.; 8703 - Motor cars and other motor vehicles principally designed for the transport of &lt;10 persons, incl. station wagons and racing cars (excl. motor vehicles of heading 8702); 870210 - Motor vehicles for the transport of &gt;= 10 persons, incl. driver, with only diesel engine; 870230 - Motor vehicles for the transport of &gt;= 10 persons, incl. driver, with both spark-ignition internal combustion reciprocating piston engine and electric motor as motors for propulsion; 870230 - Motor vehicles for the transport of &gt;= 10 persons, incl. driver, with both spark-ignition internal combustion reciprocating piston engine and electric motor as motors for propulsion; 870210 - Motor vehicles for the transport of &gt;= 10 persons, incl. driver, with only diesel engine; 8709 - Works trucks, self-propelled, not fitted with lifting or handling equipment, of the type used in factories, warehouses, dock areas or airports for short distance transport of goods; tractors of the type used on railway station platforms; parts of the foregoing vehicles, n.e.s.; 8703 - Motor cars and other motor vehicles principally designed for the transport of &lt;10 persons, incl. station wagons and racing cars (excl. motor vehicles of heading 8702)</t>
  </si>
  <si>
    <t>13.040.50 - Transport exhaust emissions; 13.040.50 - Transport exhaust emissions; 43.060.40 - Fuel systems; 43.060.40 - Fuel systems; 43.100 - Passenger cars. Caravans and light trailers; 43.100 - Passenger cars. Caravans and light trailers; 43.160 - Special purpose vehicles; 43.160 - Special purpose vehicles; 13.040.50 - Transport exhaust emissions; 43.060.40 - Fuel systems; 43.100 - Passenger cars. Caravans and light trailers; 43.160 - Special purpose vehicles</t>
  </si>
  <si>
    <t>Consumer information, labelling (TBT); Prevention of deceptive practices and consumer protection (TBT); Protection of the environment (TBT); Cost saving and productivity enhancement (TBT)</t>
  </si>
  <si>
    <d:r xmlns:d="http://schemas.openxmlformats.org/spreadsheetml/2006/main">
      <d:rPr>
        <d:sz val="11"/>
        <d:rFont val="Calibri"/>
      </d:rPr>
      <d:t xml:space="preserve">https://members.wto.org/crnattachments/2024/TBT/USA/24_04921_00_e.pdf</d:t>
    </d:r>
  </si>
  <si>
    <t>Geotextiles (Quality Control) Order, 2024.</t>
  </si>
  <si>
    <t>Geotextiles (Quality Control) Order, 2024- (copy of the draft QCO attached)</t>
  </si>
  <si>
    <t>IS 17880 :2022 - Geosynthetics — Synthetic Polymer Rope Gabions for Coastal and Waterways Protection — Specification</t>
  </si>
  <si>
    <d:r xmlns:d="http://schemas.openxmlformats.org/spreadsheetml/2006/main">
      <d:rPr>
        <d:sz val="11"/>
        <d:rFont val="Calibri"/>
      </d:rPr>
      <d:t xml:space="preserve">https://members.wto.org/crnattachments/2024/TBT/IND/24_04916_00_e.pdf</d:t>
    </d:r>
  </si>
  <si>
    <t>Draft Commission Implementing Regulation concerning the non-renewal of approval of the active substance tritosulfuron, in accordance with Regulation (EC) No 1107/2009 of the European Parliament and of the Council, and amending Commission Implementing Regulation (EU) No 540/2011</t>
  </si>
  <si>
    <t>This draft Commission Implementing Regulation provides that the approval of the active substance tritosulfuron is not renewed in accordance with Regulation (EC) No 1107/2009. EU Member States shall withdraw authorisations for plant protection products containing tritosulfuron as an active substance. This decision only concerns the placing on the market of this substance and plant protection products containing it. Following withdrawal and the expiry of all grace periods for stocks of products containing this substance, separate action will likely be taken on MRLs and a separate notification will be made in accordance with SPS procedures.</t>
  </si>
  <si>
    <d:r xmlns:d="http://schemas.openxmlformats.org/spreadsheetml/2006/main">
      <d:rPr>
        <d:sz val="11"/>
        <d:rFont val="Calibri"/>
      </d:rPr>
      <d:t xml:space="preserve">https://members.wto.org/crnattachments/2024/TBT/EEC/24_04892_00_e.pdf</d:t>
    </d:r>
  </si>
  <si>
    <t>Draft Resolution of the Cabinet of Ministers of Ukraine "On Approval of the Technical Regulation on Ecodesign Requirements for Electric Motors and Variable Speed Drives"</t>
  </si>
  <si>
    <t>Ukraine notifies the adoption of the Resolution of the Cabinet of Ministers of Ukraine No 844 "On Approval of the Technical Regulation on Ecodesign Requirements for Electric Motors and Variable Speed Drives"  of 23 July 2024.The Resolution  was published on 26 July 2024  and will enter into force six months from the date of termination or cancellation of martial law in Ukraine.It is established that placement on the market and operation of electric motors and variable speed drives that meet the requirements of the Technical Regulation on Ecodesign Requirements for Electric Motors, approved by the Resolution of the Cabinet of Ministers of Ukraine No. 157 of 27 February 2019, and which were put into circulation before the date of entry into force of the Resolution No 844 of 23 July 2024, may not be prohibited or restricted due to non-compliance of such products with the requirements of the Technical Regulation approved by this Resolution.</t>
  </si>
  <si>
    <t>electric motors and variable speed drives such as:electric motors without brushes, commutators, slip rings or electrical connections to the rotor, rated for operation on a 50 Hz, 60 Hz or 50/60 Hz sinusoidal voltage, that:have two, four, six or eight poles;have a rated voltage U N above 50 V and up to and including 1 000 V;have a rated power output P N from 0,12 kW up to and including 1 000 kW;are rated on the basis of continuous duty operation; andare rated for direct on-line operation;variable speed drives with 3 phases input that:are rated for operating with one motor, within the 0,12 kW-1 000 kW motor rated output range;have a rated voltage above 100 V and up to and including 1 000 V AC;have only one AC voltage output.</t>
  </si>
  <si>
    <t>29.160.30 - Motors; 29.160.30 - Motors</t>
  </si>
  <si>
    <d:r xmlns:d="http://schemas.openxmlformats.org/spreadsheetml/2006/main">
      <d:rPr>
        <d:sz val="11"/>
        <d:rFont val="Calibri"/>
      </d:rPr>
      <d:t xml:space="preserve">https://members.wto.org/crnattachments/2024/TBT/UKR/final_measure/24_04904_00_e.pdf
https://members.wto.org/crnattachments/2024/TBT/UKR/final_measure/24_04904_00_x.pdf
https://members.wto.org/crnattachments/2024/TBT/UKR/final_measure/24_04904_01_x.pdf</d:t>
    </d:r>
  </si>
  <si>
    <t>Draft Order of the Ministry of Agrarian Policy and Food of Ukraine “On Approval of the List of Limited or Prohibited Substances in Animal Feed”</t>
  </si>
  <si>
    <t xml:space="preserve">The draft Order proposes to approve the list of substances, the presence of which in feed is limited or prohibited._x000D_
The draft Order also mandates recognizing the Order of the Ministry of Agrarian Policy and Food of Ukraine No. 131 "On Approval of the List of Maximum Permissible Levels of Undesirable Substances in Fodder and Fodder Raw Materials for Animals" of 19 March 2012 as invalid.The draft Order is based on Directive 2002/32/EC of the European Parliament and of the Council of 7 May 2002 on undesirable substances in animal feed, as well as Commission Recommendation of 11 October 2004 on the monitoring of background levels of dioxins and dioxin-like PCBs in foodstuffs and Commission Recommendation of 17 August 2006 on the presence of deoxynivalenol, zearalenone, ochratoxin A, T-2 and HT-2 and fumonisins in products intended for animal feeding.</t>
  </si>
  <si>
    <t>Flours, meals and pellets, of meat or meat offal, of fish or of crustaceans, molluscs or other aquatic invertebrates, unfit for human consumption; greaves (HS code(s): 2301); Bran, sharps and other residues, whether or not in the form of pellets, derived from the sifting, milling or other working of cereals or of leguminous plants (HS code(s): 2302); Residues of starch manufacture and similar residues, beet-pulp, bagasse and other waste of sugar manufacture, brewing or distilling dregs and waste, whether or not in the form of pellets (HS code(s): 2303); Oil-cake and other solid residues, whether or not ground or in the form of pellets, resulting from the extraction of soyabean oil (HS code(s): 2304); Oil-cake and other solid residues, whether or not ground or in the form of pellets, resulting from the extraction of ground-nut oil (HS code(s): 2305); Oilcake and other solid residues, whether or not ground or in the form of pellets, resulting from the extraction of vegetable or microbial fats or oils (excl. from soyabean oil and groundnut oil) (HS code(s): 2306); Vegetable materials and vegetable waste, vegetable residues and by-products, whether or not in the form of pellets, of a kind used in animal feeding, not elsewhere specified or included (HS code(s): 2308); Preparations of a kind used in animal feeding (HS code(s): 2309); Animal feeding stuffs (ICS code(s): 65.120)</t>
  </si>
  <si>
    <t>2301 - Flours, meals and pellets, of meat or meat offal, of fish or of crustaceans, molluscs or other aquatic invertebrates, unfit for human consumption; greaves; 2302 - Bran, sharps and other residues, whether or not in the form of pellets, derived from the sifting, milling or other working of cereals or of leguminous plants; 2303 - Residues of starch manufacture and similar residues, beet-pulp, bagasse and other waste of sugar manufacture, brewing or distilling dregs and waste, whether or not in the form of pellets; 2304 - Oil-cake and other solid residues, whether or not ground or in the form of pellets, resulting from the extraction of soyabean oil.; 2305 - Oil-cake and other solid residues, whether or not ground or in the form of pellets, resulting from the extraction of ground-nut oil.; 2306 - Oilcake and other solid residues, whether or not ground or in the form of pellets, resulting from the extraction of vegetable or microbial fats or oils (excl. from soya-bean oil and groundnut oil); 2308 - Vegetable materials and vegetable waste, vegetable residues and by-products, whether or not in the form of pellets, of a kind used in animal feeding, not elsewhere specified or included.; 2309 - Preparations of a kind used in animal feeding</t>
  </si>
  <si>
    <d:r xmlns:d="http://schemas.openxmlformats.org/spreadsheetml/2006/main">
      <d:rPr>
        <d:sz val="11"/>
        <d:rFont val="Calibri"/>
      </d:rPr>
      <d:t xml:space="preserve">https://members.wto.org/crnattachments/2024/SPS/UKR/24_04887_00_x.pdf
https://members.wto.org/crnattachments/2024/SPS/UKR/24_04887_01_x.pdf
https://minagro.gov.ua/npa/pro-zatverdzhennia-pereliku-rechovyn-naiavnist-iakykh-u-kormakh-ie-obmezhenoiu-abo-zaboronenoiu</d:t>
    </d:r>
  </si>
  <si>
    <t>Import health standard: Dried and Preserved Plant Material</t>
  </si>
  <si>
    <t>This notification relates to amendments to the Import Health Standard: Dried and Preserved Plant Material following public consultation on removing inspection and certification requirements for Pacific-style handwoven mats or tapa mats (including fine mats) and reference to Pandanus spp. from the standard.This amendment will facilitate trade of tapa mats and fine mats and reduce the costs for importers.</t>
  </si>
  <si>
    <t>Dried and preserved plant material</t>
  </si>
  <si>
    <d:r xmlns:d="http://schemas.openxmlformats.org/spreadsheetml/2006/main">
      <d:rPr>
        <d:sz val="11"/>
        <d:rFont val="Calibri"/>
      </d:rPr>
      <d:t xml:space="preserve">https://members.wto.org/crnattachments/2024/SPS/NZL/24_04895_00_e.pdf</d:t>
    </d:r>
  </si>
  <si>
    <t>Resolución para regular la importación de frutos para consumo fresco de Aguacate (Persea americana) de Brasil (Resolution regulating the importation of fresh avocados (Persea americana) for consumption from Brazil) Costa Rica hereby advises that the phytosanitary measures notified in document G/SPS/N/CRI/267 have been adopted under Resolution No. 061-2024-CV-ARP-SFE of the State Phytosanitary Service, Standards and Regulations Department, Pest Risk Analysis Unit, establishing phytosanitary requirements for the importation of fresh avocados (Persea americana) for consumption from Brazil. The draft Resolution was circulated on 25 April 2024. The date of entry into force will be six months after signature of the final Resolution. https://members.wto.org/crnattachments/2024/SPS/CRI/24_04891_00_s.pdf</t>
  </si>
  <si>
    <t>Aguacates "paltas", frescos (Código(s) del SA: 080440)</t>
  </si>
  <si>
    <t>080440 - Fresh or dried avocados; 080440 - Fresh or dried avocados</t>
  </si>
  <si>
    <d:r xmlns:d="http://schemas.openxmlformats.org/spreadsheetml/2006/main">
      <d:rPr>
        <d:sz val="11"/>
        <d:rFont val="Calibri"/>
      </d:rPr>
      <d:t xml:space="preserve">https://members.wto.org/crnattachments/2024/SPS/CRI/24_04891_00_s.pdf</d:t>
    </d:r>
  </si>
  <si>
    <t>Importation of Nursery Stock 155.02.06</t>
  </si>
  <si>
    <t>The Ministry for Primary Industries aims to focus resources on maintaining nursery stock import pathways that are of biggest benefit to importers and exporters. Therefore, we propose suspending import pathways for nursery stock species that have not been used for many years. About 60% of eligible plant genera have not been imported for over 25 years. A further 13% of eligible plant genera have not been imported since 2013. As a result, the import requirements for these genera have not been maintained. Therefore, they pose biosecurity risk to New Zealand. The detail for each plant genus is in the documents linked below in section 9.The Ministry for Primary Industries is also amending the format of the import health standard Importation of Nursery Stock 155.02.06. The format change aims to make the standard more user-friendly and will not change requirements of any open pathways. The name of the standard will also change to Plants for Planting 155.02.06 to reflect terminology used in our newer import health standards.</t>
  </si>
  <si>
    <t>Nursery stock</t>
  </si>
  <si>
    <d:r xmlns:d="http://schemas.openxmlformats.org/spreadsheetml/2006/main">
      <d:rPr>
        <d:sz val="11"/>
        <d:rFont val="Calibri"/>
      </d:rPr>
      <d:t xml:space="preserve">https://members.wto.org/crnattachments/2024/SPS/NZL/24_04896_00_e.pdf</d:t>
    </d:r>
  </si>
  <si>
    <t>Trinidad and Tobago</t>
  </si>
  <si>
    <t>Automotive engine oil - Compulsory requirements</t>
  </si>
  <si>
    <t>This standard outlines compulsory requirements for automotive engine oils for use in Trinidad and Tobago.The standard applies to automotive engine oil used in gasoline fuelled vehicles, diesel fuelled vehicles, hybrid-electric vehicles and bi-fuel vehicles using compressed natural gas with either gasoline or diesel. This standard does not apply to automotive engine oils formulated for use in: motorcycles;off-highway or off-road vehicles;farm equipment;industrial equipment;marine engines or vessels;two-stroke engines;construction equipment; andmotorsport or recreational vehicles.</t>
  </si>
  <si>
    <t>Lubricants, industrial oils and related products (ICS code(s): 75.100)</t>
  </si>
  <si>
    <d:r xmlns:d="http://schemas.openxmlformats.org/spreadsheetml/2006/main">
      <d:rPr>
        <d:sz val="11"/>
        <d:rFont val="Calibri"/>
      </d:rPr>
      <d:t xml:space="preserve">https://members.wto.org/crnattachments/2024/TBT/TTO/24_04890_00_e.pdf</d:t>
    </d:r>
  </si>
  <si>
    <t>Draft Order of the Ministry of Agrarian Policy and Food of Ukraine "On approval of the Procedure for registration of persons carrying out economic activities related to the production and circulation of regulated objects and phytosanitary measures regarding wood packaging material"</t>
  </si>
  <si>
    <t>Ukraine notifies the adoption of the Order of the Ministry of Agrarian Policy and Food of Ukraine No. 1640 "On approval of the Procedure for registration of persons carrying out economic activities related to the production and circulation of regulated objects and phytosanitary measures regarding wood packaging material" of 27 May 2024.The Order was registered in the Ministry of Justice of Ukraine on 27 June 2024 and published on 16 July 2024.The Order will entry into force on 16 January 2025.</t>
  </si>
  <si>
    <t>Wood packaging material</t>
  </si>
  <si>
    <d:r xmlns:d="http://schemas.openxmlformats.org/spreadsheetml/2006/main">
      <d:rPr>
        <d:sz val="11"/>
        <d:rFont val="Calibri"/>
      </d:rPr>
      <d:t xml:space="preserve">https://members.wto.org/crnattachments/2024/SPS/UKR/24_04899_00_e.pdf
https://members.wto.org/crnattachments/2024/SPS/UKR/24_04899_01_e.pdf
https://members.wto.org/crnattachments/2024/SPS/UKR/24_04899_00_x.pdf
https://members.wto.org/crnattachments/2024/SPS/UKR/24_04899_01_x.pdf
https://members.wto.org/crnattachments/2024/SPS/UKR/24_04899_02_x.pdf
https://zakon.rada.gov.ua/laws/show/z0968-24#Text
https://zakon.rada.gov.ua/laws/show/z0969-24#Text</d:t>
    </d:r>
  </si>
  <si>
    <t>Draft Resolution of the Cabinet of Ministers of Ukraine "On Approval of the Technical Regulation on Safety of Chemical Products"</t>
  </si>
  <si>
    <t>Ukraine notifies the adoption of the Resolution of the Cabinet of Ministers of Ukraine No 847 "On Approval of the Technical Regulation on Safety of Chemical Products"  of 23 July 2024.The Resolution  was published on 26 July 2024  and will enter into force on 26 January 2025.</t>
  </si>
  <si>
    <t>Chemical products (substances, mixtures, explosive or pyrotechnical articles). All HS codes from Chapters 28 - 38 of Section VI of the Harmonized System, excluding Chapter 30 - Pharmaceutical products</t>
  </si>
  <si>
    <t>28 - INORGANIC CHEMICALS; ORGANIC OR INORGANIC COMPOUNDS OF PRECIOUS METALS, OF RARE-EARTH METALS, OF RADIOACTIVE ELEMENTS OR OF ISOTOPES; 29 - ORGANIC CHEMICALS; 31 - FERTILISERS; 32 - TANNING OR DYEING EXTRACTS; TANNINS AND THEIR DERIVATIVES; DYES, PIGMENTS AND OTHER COLOURING MATTER; PAINTS AND VARNISHES; PUTTY AND OTHER MASTICS; INKS; 33 - ESSENTIAL OILS AND RESINOIDS; PERFUMERY, COSMETIC OR TOILET PREPARATIONS; 34 - SOAP, ORGANIC SURFACE-ACTIVE AGENTS, WASHING PREPARATIONS, LUBRICATING PREPARATIONS, ARTIFICIAL WAXES, PREPARED WAXES, POLISHING OR SCOURING PREPARATIONS, CANDLES AND SIMILAR ARTICLES, MODELLING PASTES, ‘DENTAL WAXES’ AND DENTAL PREPARATIONS WITH A BASIS OF PLASTER; 35 - ALBUMINOIDAL SUBSTANCES; MODIFIED STARCHES; GLUES; ENZYMES; 36 - EXPLOSIVES; PYROTECHNIC PRODUCTS; MATCHES; PYROPHORIC ALLOYS; CERTAIN COMBUSTIBLE PREPARATIONS; 37 - PHOTOGRAPHIC OR CINEMATOGRAPHIC GOODS; 38 - MISCELLANEOUS CHEMICAL PRODUCTS; 32 - TANNING OR DYEING EXTRACTS; TANNINS AND THEIR DERIVATIVES; DYES, PIGMENTS AND OTHER COLOURING MATTER; PAINTS AND VARNISHES; PUTTY AND OTHER MASTICS; INKS; 31 - FERTILISERS; 29 - ORGANIC CHEMICALS; 28 - INORGANIC CHEMICALS; ORGANIC OR INORGANIC COMPOUNDS OF PRECIOUS METALS, OF RARE-EARTH METALS, OF RADIOACTIVE ELEMENTS OR OF ISOTOPES; 33 - ESSENTIAL OILS AND RESINOIDS; PERFUMERY, COSMETIC OR TOILET PREPARATIONS; 34 - SOAP, ORGANIC SURFACE-ACTIVE AGENTS, WASHING PREPARATIONS, LUBRICATING PREPARATIONS, ARTIFICIAL WAXES, PREPARED WAXES, POLISHING OR SCOURING PREPARATIONS, CANDLES AND SIMILAR ARTICLES, MODELLING PASTES, ‘DENTAL WAXES’ AND DENTAL PREPARATIONS WITH A BASIS OF PLASTER; 35 - ALBUMINOIDAL SUBSTANCES; MODIFIED STARCHES; GLUES; ENZYMES; 36 - EXPLOSIVES; PYROTECHNIC PRODUCTS; MATCHES; PYROPHORIC ALLOYS; CERTAIN COMBUSTIBLE PREPARATIONS; 37 - PHOTOGRAPHIC OR CINEMATOGRAPHIC GOODS; 38 - MISCELLANEOUS CHEMICAL PRODUCTS</t>
  </si>
  <si>
    <t>71.060 - Inorganic chemicals; 71.060 - Inorganic chemicals; 71.080 - Organic chemicals; 71.080 - Organic chemicals; 71.100 - Products of the chemical industry; 71.100 - Products of the chemical industry; 71.100.30 - Explosives. Pyrotechnics and fireworks; 71.100.30 - Explosives. Pyrotechnics and fireworks; 71.100.60 - Essential oils; 71.100.60 - Essential oils; 71.100.70 - Cosmetics. Toiletries; 71.100.70 - Cosmetics. Toiletries</t>
  </si>
  <si>
    <t>National security requirements (TBT); Consumer information, labelling (TBT); Prevention of deceptive practices and consumer protection (TBT); Protection of human health or safety (TBT); Protection of the environment (TBT); Quality requirements (TBT); Harmonization (TBT)</t>
  </si>
  <si>
    <d:r xmlns:d="http://schemas.openxmlformats.org/spreadsheetml/2006/main">
      <d:rPr>
        <d:sz val="11"/>
        <d:rFont val="Calibri"/>
      </d:rPr>
      <d:t xml:space="preserve">https://members.wto.org/crnattachments/2024/TBT/UKR/final_measure/24_04905_00_e.pdf
https://members.wto.org/crnattachments/2024/TBT/UKR/final_measure/24_04905_00_x.pdf</d:t>
    </d:r>
  </si>
  <si>
    <t>Hollow clay blocks - Vertical core - Compulsory requirements</t>
  </si>
  <si>
    <t>ScopeThis standard applies to vertical core, hollow clay blocks which are manufactured from clay, shale, fire clay or mixtures thereof, for use in Trinidad and Tobago. Vertical core, hollow clay blocks are intended for use in masonry supplying both structural and facing components to a structure. This standard does not apply to hollow clay blocks intended for use as paving bricks or hollow clay blocks with horizontal cores.This draft standard includes compulsory requirements for surface finish, face shell thickness, web thickness, maximum water absorption, compressive strength, and labelling.This standard also outlines the mechanism to demonstrate compliance to these requirements and includes measures to be taken in the event of non-compliance.This standard applies to vertical core, hollow clay blocks which comply with the following characteristics:Grade MW,Type HBS or Type HBX, andClass H40V or Class H60VNOTE     Vertical core, hollow clay blocks are typically used in load bearing applications with the cells oriented vertically.</t>
  </si>
  <si>
    <t>Terracotta building products (ICS code(s): 91.100.25)</t>
  </si>
  <si>
    <t>91.100.25 - Terracotta building products</t>
  </si>
  <si>
    <d:r xmlns:d="http://schemas.openxmlformats.org/spreadsheetml/2006/main">
      <d:rPr>
        <d:sz val="11"/>
        <d:rFont val="Calibri"/>
      </d:rPr>
      <d:t xml:space="preserve">https://members.wto.org/crnattachments/2024/TBT/TTO/24_04889_00_e.pdf</d:t>
    </d:r>
  </si>
  <si>
    <t>Draft Commission Regulation (EU) …/…of XXX amending Annex XVII to Regulation (EC) No 1907/2006 of the European Parliament and of the Council as regards N,N-dimethylacetamide (DMAC) and 1-ethylpyrrolidin-2-one (NEP)</t>
  </si>
  <si>
    <t>This draft Regulation relates to new entries of Annex XVII to REACH Regulation (EC) No 1907/2006.The draft Commission Regulation proposes a restriction for placing N,N-dimethylacetamide (DMAC) and 1-ethylpyrrolidin-2-one (NEP) on the market in concentrations higher than 0.3%, unless the registration dossiers and the safety data sheet are updated with the new DNEL values, and manufacturers and downstream users ensure the protection of workers by keeping their exposure below those values. Application of the restriction is deferred for 18 months for all industrial sectors and for 48 months for the man-made fibres sector, to give industry sufficient time to comply. </t>
  </si>
  <si>
    <t>N,N-dimethylacetamide (DMAC) and 1-ethylpyrrolidin-2-one (NEP)</t>
  </si>
  <si>
    <d:r xmlns:d="http://schemas.openxmlformats.org/spreadsheetml/2006/main">
      <d:rPr>
        <d:sz val="11"/>
        <d:rFont val="Calibri"/>
      </d:rPr>
      <d:t xml:space="preserve">https://members.wto.org/crnattachments/2024/TBT/EEC/24_04902_00_e.pdf
https://members.wto.org/crnattachments/2024/TBT/EEC/24_04902_01_e.pdf</d:t>
    </d:r>
  </si>
  <si>
    <t>This technical regulation shall apply to rice wine products containing methanol at levels less than or equal to 2,000 mg per liter of alcohol. This regulation mandates that any person who produces, processes, imports, advertises, or sells rice wine must comply with these technical standards. </t>
  </si>
  <si>
    <t>22 - BEVERAGES, SPIRITS AND VINEGAR</t>
  </si>
  <si>
    <t>67.160.10 - Alcoholic beverages</t>
  </si>
  <si>
    <d:r xmlns:d="http://schemas.openxmlformats.org/spreadsheetml/2006/main">
      <d:rPr>
        <d:sz val="11"/>
        <d:rFont val="Calibri"/>
      </d:rPr>
      <d:t xml:space="preserve">https://members.wto.org/crnattachments/2024/TBT/KHM/24_04884_00_x.pdf</d:t>
    </d:r>
  </si>
  <si>
    <t>Resolución 0085: Establecimiento de requisitos fitosanitarios obligatorios para la importación de follaje de helecho cuero (Rumohra adiantiformis) para uso ornamental, originario de Guatemala (Resolution No. 0085 establishing mandatory phytosanitary requirements for the importation of leather fern (Rumohra adiantiformis) foliage for ornamental use, originating in Guatemala)</t>
  </si>
  <si>
    <t>The notified Resolution establishes mandatory phytosanitary requirements for the importation of leather fern (Rumohra adiantiformis) foliage for ornamental use, originating in Guatemala.</t>
  </si>
  <si>
    <t>Leather fern (Rumohra adiantiformis) foliage</t>
  </si>
  <si>
    <t>Guatemala</t>
  </si>
  <si>
    <d:r xmlns:d="http://schemas.openxmlformats.org/spreadsheetml/2006/main">
      <d:rPr>
        <d:sz val="11"/>
        <d:rFont val="Calibri"/>
      </d:rPr>
      <d:t xml:space="preserve">https://members.wto.org/crnattachments/2024/SPS/ECU/24_04879_00_s.pdf</d:t>
    </d:r>
  </si>
  <si>
    <t>Proposal P1055 Definitions for gene technology and new breeding techniques – 2nd Call for Submissions and supporting documents; (145 page(s), in English)</t>
  </si>
  <si>
    <t xml:space="preserve">Proposal P1055 proposes to amend the definitions for ‘food produced using gene technology’ and ‘gene technology’ in the Australia New Zealand Food Standards Code (the Code) to ensure it is clear what foods are genetically modified (GM) for Code purposes, while also ensuring that foods are regulated according to the risk they pose. _x000D_
FSANZ has prepared a draft variation to the Code, which extends across six food standards and four schedules. Key aspects include:_x000D_
• Repealing the existing definitions for ‘food produced using gene technology’ and ‘gene technology’ and replacing them with a new definition for ‘genetically modified food’ based around the presence of novel DNA in the organism from which the food is derived;_x000D_
• Explicit exclusions from the GM food definition for substances added to food, substances used in cell culture media for the production of cell-cultured food, and food from null segregant organisms and grafted plants;_x000D_
• New definitions for ‘novel DNA’, ‘novel protein’ and ‘null segregant’._x000D_
No transition period is proposed. The proposed variations to the six Standards and four Schedules are:_x000D_
• unlikely to have any impact on products currently on the market; or _x000D_
• are deregulatory in nature and provide exemptions to current requirements for products on the market._x000D_
The standard 12 month stock in trade provisions in the Australia New Zealand Food Standards Code will apply._x000D_
We are notifying other elements of these measures under the Agreement on the Application of Sanitary and Phytosanitary Measures._x000D_
</t>
  </si>
  <si>
    <t>Genetically modified foods and foods derived from new breeding techniques (NBTs).</t>
  </si>
  <si>
    <t>Consumer information, labelling (TBT); Protection of human health or safety (TBT); Harmonization (TBT)</t>
  </si>
  <si>
    <d:r xmlns:d="http://schemas.openxmlformats.org/spreadsheetml/2006/main">
      <d:rPr>
        <d:sz val="11"/>
        <d:rFont val="Calibri"/>
      </d:rPr>
      <d:t xml:space="preserve">https://www.foodstandards.gov.au/food-standards-code/proposals/p1055-definitions-for-gene-technology-and-new-breeding-techniques</d:t>
    </d:r>
  </si>
  <si>
    <t>Proposal P1055 Definitions for gene technology and new breeding techniques – 2nd Call for Submissions</t>
  </si>
  <si>
    <t>Proposal P1055 proposes to amend the definitions for ‘food produced using gene technology’ and ‘gene technology’ in the Australia New Zealand Food Standards Code (the Code) to ensure it is clear what foods are genetically modified (GM) for Code purposes, while also ensuring that foods are regulated according to the risk they pose. FSANZ has prepared a draft variation to the Code, which extends across six food standards and four schedules. Key aspects include:Repealing the existing definitions for ‘food produced using gene technology’ and ‘gene technology’ and replacing them with a new definition for ‘genetically modified food’ based around the presence of novel DNA in the organism from which the food is derived;Explicit exclusions from the GM food definition for substances added to food, substances used in cell culture media for the production of cell-cultured food, and food from null segregant organisms and grafted plants;New definitions for ‘novel DNA’, ‘novel protein’ and ‘null segregant’.No transition period is proposed. The proposed variations to the six Standards and four Schedules are:unlikely to have any impact on products currently on the market; or are deregulatory in nature and provide exemptions to current requirements for products on the market.The standard 12 month stock in trade provisions in the Australia New Zealand Food Standards Code will apply.We are notifying other elements of these measures under the Agreement on the Application of Sanitary and Phytosanitary Measures.</t>
  </si>
  <si>
    <d:r xmlns:d="http://schemas.openxmlformats.org/spreadsheetml/2006/main">
      <d:rPr>
        <d:sz val="11"/>
        <d:rFont val="Calibri"/>
      </d:rPr>
      <d:t xml:space="preserve">https://www.foodstandards.gov.au/food-standards-code/proposals/p1055-definitions-for-gene-technology-and-new-breeding-techniques 
Email:  standards.management@foodstandards.gov.au
</d:t>
    </d:r>
  </si>
  <si>
    <t>Preliminary draft Regulation on the safety of domestic gas appliances, portable containers and their accessories for liquefied petroleum gas and natural gas</t>
  </si>
  <si>
    <t>Resolution No. 384/024 of the Energy and Water Services Regulatory Authority (URSEA) provides for amendments to the Annexes to the Regulation on the safety of domestic gas appliances, portable containers and their accessories for liquefied petroleum gas and natural gas, approved by URSEA Resolution No. 151/021 of 21 July 2021. Any comments or observations from trading partners may be sent by email to directorio@ursea.gub.uy, with reference to Public Consultation No. 66 - Amendments to the Regulation on the safety of domestic gas appliances, portable containers and their accessories for liquefied petroleum gas and natural gas. __________</t>
  </si>
  <si>
    <t>Domestic gas appliances, portable containers and their accessories for liquefied petroleum gas and natural gas</t>
  </si>
  <si>
    <t>23.020 - Fluid storage devices; 23.020 - Fluid storage devices</t>
  </si>
  <si>
    <d:r xmlns:d="http://schemas.openxmlformats.org/spreadsheetml/2006/main">
      <d:rPr>
        <d:sz val="11"/>
        <d:rFont val="Calibri"/>
      </d:rPr>
      <d:t xml:space="preserve">https://members.wto.org/crnattachments/2024/TBT/URY/modification/24_04876_00_s.pdf
https://members.wto.org/crnattachments/2024/TBT/URY/modification/24_04876_01_s.pdf
https://members.wto.org/crnattachments/2024/TBT/URY/modification/24_04876_02_s.pdf
El texto de la medida modificada y demás información de interés puede encontrarse en el siguiente enlace a la Consulta Pública N° 66 - Modificaciones al Reglamento de seguridad de gasodomésticos
 recipientes portátiles y accesorios para GLP y gas natural: https://plataformaparticipacionciudadana.gub.uy/processes/Consulta66.
Asimismo
 los documentos relevantes se encuentran en anexo a esta notificación.
</d:t>
    </d:r>
  </si>
  <si>
    <t>Resolución 0086: Establecimiento de requisitos fitosanitarios obligatorios para la importación de follaje de coprosma (Coprosma repens) para uso ornamental, originario de Guatemala (Resolution No. 0086 establishing mandatory phytosanitary requirements for the importation of coprosma (Coprosma repens) foliage for ornamental use, originating in Guatemala)</t>
  </si>
  <si>
    <t>The notified Resolution establishes mandatory phytosanitary requirements for the importation of coprosma (Coprosma repens) foliage for ornamental use, originating in Guatemala.</t>
  </si>
  <si>
    <t>Coprosma (Coprosma repens) foliage</t>
  </si>
  <si>
    <d:r xmlns:d="http://schemas.openxmlformats.org/spreadsheetml/2006/main">
      <d:rPr>
        <d:sz val="11"/>
        <d:rFont val="Calibri"/>
      </d:rPr>
      <d:t xml:space="preserve">https://members.wto.org/crnattachments/2024/SPS/ECU/24_04880_00_s.pdf</d:t>
    </d:r>
  </si>
  <si>
    <t>Resolución No. 00009105 del 23 de julio de 2024 "Por la cual se establecen medidas preventivas de emergencia por la presencia del virus del síndrome de las manchas blancas en camarón y demás crustáceos crudos, sus productos y subproductos de riesgo provenientes de Ecuador con destino Colombia" (Resolution No. 00009105 of 23 July 2024 establishing emergency preventive measures owing to the presence of white spot syndrome virus in at-risk shrimp and other raw crustaceans and their products and by-products imported from Ecuador to Colombia) The notified Resolution suspends the issuance of animal health documents for the importation from Ecuador of at-risk shrimp and other raw crustaceans and their products and by-products capable of transmitting white spot syndrome virus (WSSV). The suspension will remain in place until a risk assessment has been conducted to determine whether to establish alternative or permanent measures or to amend or lift the measures adopted in the notified Resolution, which repeals ICA Resolution No. 00007748 of 2024. https://www.ica.gov.co/getattachment/f8a8eba1-251d-4a56-9b83-91016da5c43a/2024R00009105.aspx https://members.wto.org/crnattachments/2024/SPS/COL/24_04874_00_s.pdf</t>
  </si>
  <si>
    <t>Shrimp and other raw crustaceans and their products and by-products</t>
  </si>
  <si>
    <t>0306 - Crustaceans, whether in shell or not, live, fresh, chilled, frozen, dried, salted or in brine, even smoked, incl. crustaceans in shell cooked by steaming or by boiling in water; 0306 - Crustaceans, whether in shell or not, live, fresh, chilled, frozen, dried, salted or in brine, even smoked, incl. crustaceans in shell cooked by steaming or by boiling in water</t>
  </si>
  <si>
    <t>Animal health; Territory protection; Animal diseases; Modification of content/scope of regulation; Animal health; Territory protection; Animal diseases</t>
  </si>
  <si>
    <t>Addendum to Emergency Notification (SPS)</t>
  </si>
  <si>
    <d:r xmlns:d="http://schemas.openxmlformats.org/spreadsheetml/2006/main">
      <d:rPr>
        <d:sz val="11"/>
        <d:rFont val="Calibri"/>
      </d:rPr>
      <d:t xml:space="preserve">https://members.wto.org/crnattachments/2024/SPS/COL/24_04874_00_s.pdf
https://www.ica.gov.co/getattachment/f8a8eba1-251d-4a56-9b83-91016da5c43a/2024R00009105.aspx</d:t>
    </d:r>
  </si>
  <si>
    <t>Projet de décret modifiant le décret n°2023-1224 du 20 décembre 2023 relatif à l'apposition d'une mention sur chaque unité de conditionnement des produits contenant uniquement du protoxyde d'azote (Draft Decree amending Decree No. 2023-1224 of 20 December 2023 on the inclusion of a warning label on individual packaging units for products containing only nitrous oxide) (5 page(s), in French)</t>
  </si>
  <si>
    <t xml:space="preserve">The notified draft Decree amends the wording of the mutual recognition clause contained in Decree No. 2023-1224 of 20 December 2023 on the inclusion of a warning label on individual packaging units for products containing only nitrous oxide, which specifies the content and characteristics of the warning label on the dangers of misusing nitrous oxide to be displayed on the product wrapping or packaging. Decree No. 2023-1224 of 20 December 2023 provides that the warning "Risque avéré d'effets graves pour le système nerveux à la suite d'expositions répétées ou d'une exposition prolongée par inhalation" (Proven risk of serious effects on the nervous system through repeated or prolonged exposure by inhalation) must be displayed on the wrapping of products containing nitrous oxide or, when such products are sold individually, on their immediate packaging. The warning appears in a red box on a white background, in red lettering and Arial font with a height of at least 0.9 mm for packaging whose largest side G/TBT/N/FRA/234 - 2 -   has a surface area less than or equal to 80 cm2 and of at least 1.2 mm for packaging whose largest side has a surface area greater than 80 cm2. It is illustrated by a red diamond on a white background measuring at least one centimetre on each side and containing a black silhouette. The notified draft amending Decree sets out the mutual recognition clause so that a product containing nitrous oxide legally marketed or manufactured in a member State of the European Union or in Türkiye, or legally manufactured in a State party to the Agreement on the European Economic Area, labelled as STOT RE 1, in accordance with the requirements of Regulation (EC) No 1272/2008, can be marketed in France.</t>
  </si>
  <si>
    <t>Nitrogen (HS code(s): 280430); Environment. Health protection. Security (ICS code(s): 13) The notified text concerns the sale of nitrous oxide (also known as nitrogen protoxide, dinitrogen oxide and dinitrogen monoxide), chemical formula: N2O, CAS No. 10024-97-2</t>
  </si>
  <si>
    <t>280430 - Nitrogen</t>
  </si>
  <si>
    <d:r xmlns:d="http://schemas.openxmlformats.org/spreadsheetml/2006/main">
      <d:rPr>
        <d:sz val="11"/>
        <d:rFont val="Calibri"/>
      </d:rPr>
      <d:t xml:space="preserve">https://members.wto.org/crnattachments/2024/TBT/FRA/24_04885_00_f.pdf
https://members.wto.org/crnattachments/2024/TBT/FRA/24_04885_01_f.pdf</d:t>
    </d:r>
  </si>
  <si>
    <t>Kazakhstan</t>
  </si>
  <si>
    <t>Draft Decision of the Council of the Eurasian Economic Commission on the Rules for regulation of the circulation of feed additives in the customs territory of the Eurasian Economic Union</t>
  </si>
  <si>
    <t>The draft provides for the approval of the Rules for regulation of the circulation of feed additives in the customs territory of the Eurasian Economic Union (hereinafter - the Union), which include:- a unified procedure for the registration of feed additives, as well as other procedures related to registration;- a unified procedure for assessing the quality, safety and efficiency of feed additives and criteria for their assessment;- unified principles of information interaction in organizing and conducting state control (supervision) in the sphere of feed additives circulation;- unified forms of registration documents;- a unified register of feed additives registered under unified Union rules;- a unified information database on low-quality, unsafe feed additives, falsified and (or) counterfeit feed additives detected within the framework of state control (supervision) in the sphere of feed additives circulation;- a unified information database on adverse reactions in animals detected during the use of feed additives;- a unified register of producers of feed additives, the production of which is recognized as complying with the unified requirements of the Union.</t>
  </si>
  <si>
    <d:r xmlns:d="http://schemas.openxmlformats.org/spreadsheetml/2006/main">
      <d:rPr>
        <d:sz val="11"/>
        <d:rFont val="Calibri"/>
      </d:rPr>
      <d:t xml:space="preserve">The draft document has been posted on the legal portal of the Eurasian Economic Union at: https://docs.eaeunion.org/ria/ru-ru/0106708/ria_07062024</d:t>
    </d:r>
  </si>
  <si>
    <t>ORDINANCE SDA/MAPA No. 1.147, of 16 July 2024 - Establishes the phytosanitary requirements for the importation of propagative material of limonium of any origin</t>
  </si>
  <si>
    <t>Phytosanitary requirements are established for the import of propagative material (Category 4) of limonium (Limonium spp.), of any origin.The following ordinances are revoked, after a period of 180 days from the entry into force of this Ordinance:I - Ordinance SDA/MAPA 1,028, of 5 March 2024;II - Ordinance SDA/MAPA 566, of 2 May 2022.</t>
  </si>
  <si>
    <t>Limonium spp. propagative material</t>
  </si>
  <si>
    <t>Plant health; Modification of content/scope of regulation; Change in date of adoption/publication/entry into force; Plant health</t>
  </si>
  <si>
    <d:r xmlns:d="http://schemas.openxmlformats.org/spreadsheetml/2006/main">
      <d:rPr>
        <d:sz val="11"/>
        <d:rFont val="Calibri"/>
      </d:rPr>
      <d:t xml:space="preserve">https://members.wto.org/crnattachments/2024/SPS/BRA/24_04875_00_x.pdf
https://www.in.gov.br/en/web/dou/-/portaria-sda/mapa-n-1.147-de-16-de-julho-de-2024-572913618</d:t>
    </d:r>
  </si>
  <si>
    <t>Genetically modified food and food derived from new breeding techniques (NBTs)</t>
  </si>
  <si>
    <t>Notice of Administration Order of Saudi Food and Drug Authority Ref. No. 2819 dated 23 July 2024 entitled “Temporary ban on importation of poultry meat, eggs and their products originating from Rio Grande do Sul in Brazil”</t>
  </si>
  <si>
    <t>Following the WOAH report dated 18 July 2024, a Newcastle disease outbreak has occurred in Rio Grande do Sul in Brazil. In compliance with the World Organization for Animal Health (WOAH), Terrestrial Animal Health Code Chapter 10.9, it is deemed necessary for the Kingdom of Saudi Arabia to prevent the entry of Newcastle disease into the country. Therefore, the import of poultry meat, eggs and their products (with the exception of processed poultry meat and egg products exposed to either heat or other treatments that ensure deactivation of Newcastle disease) from Rio Grande do Sul in Brazil to the Kingdom of Saudi Arabia is temporarily suspended.</t>
  </si>
  <si>
    <t>Newcastle Disease; Human health; Animal health; Food safety; Animal diseases; Zoonoses</t>
  </si>
  <si>
    <d:r xmlns:d="http://schemas.openxmlformats.org/spreadsheetml/2006/main">
      <d:rPr>
        <d:sz val="11"/>
        <d:rFont val="Calibri"/>
      </d:rPr>
      <d:t xml:space="preserve">https://members.wto.org/crnattachments/2024/SPS/SAU/24_04877_00_x.pdf</d:t>
    </d:r>
  </si>
  <si>
    <t>Amendment of Implementing Regulation (EU) 2019/2072 as regards the listing of pests and rules on the introduction into, and movement within, the Union territory of plants, plant products and other objects</t>
  </si>
  <si>
    <t>The proposal notified in G/SPS/N/EU/759 (2 May 2024) is now adopted: Commission Implementing Regulation (EU) 2024/2004 of 23 July 2024 amending Implementing Regulation (EU) 2019/2072 as regards the listing of pests and rules on the introduction into, and movement within, the Union territory of plants, plant products and other objects.</t>
  </si>
  <si>
    <t>Plants, plant products and other objects (HS chapters: 06 (live plants), 07 (vegetables), 08 (fruits), 09 (Spices), 14 (vegetable products), 44 (wood), 94 (prefabricated buildings of wood))</t>
  </si>
  <si>
    <t>14 - VEGETABLE PLAITING MATERIALS; VEGETABLE PRODUCTS NOT ELSEWHERE SPECIFIED OR INCLUDED; 09 - COFFEE, TEA, MATÉ AND SPICES; 08 - EDIBLE FRUIT AND NUTS; PEEL OF CITRUS FRUIT OR MELONS; 07 - EDIBLE VEGETABLES AND CERTAIN ROOTS AND TUBERS; 06 - LIVE TREES AND OTHER PLANTS; BULBS, ROOTS AND THE LIKE; CUT FLOWERS AND ORNAMENTAL FOLIAGE; 44 - WOOD AND ARTICLES OF WOOD; WOOD CHARCOAL; 94 - FURNITURE; BEDDING, MATTRESSES, MATTRESS SUPPORTS, CUSHIONS AND SIMILAR STUFFED FURNISHINGS; LUMINAIRES AND LIGHTING FITTINGS, NOT ELSEWHERE SPECIFIED OR INCLUDED; ILLUMINATED SIGNS, ILLUMINATED NAMEPLATES AND THE LIKE; PREFABRICATED BUILDINGS; 14 - VEGETABLE PLAITING MATERIALS; VEGETABLE PRODUCTS NOT ELSEWHERE SPECIFIED OR INCLUDED; 44 - WOOD AND ARTICLES OF WOOD; WOOD CHARCOAL; 94 - FURNITURE; BEDDING, MATTRESSES, MATTRESS SUPPORTS, CUSHIONS AND SIMILAR STUFFED FURNISHINGS; LUMINAIRES AND LIGHTING FITTINGS, NOT ELSEWHERE SPECIFIED OR INCLUDED; ILLUMINATED SIGNS, ILLUMINATED NAMEPLATES AND THE LIKE; PREFABRICATED BUILDINGS; 09 - COFFEE, TEA, MATÉ AND SPICES; 08 - EDIBLE FRUIT AND NUTS; PEEL OF CITRUS FRUIT OR MELONS; 07 - EDIBLE VEGETABLES AND CERTAIN ROOTS AND TUBERS; 06 - LIVE TREES AND OTHER PLANTS; BULBS, ROOTS AND THE LIKE; CUT FLOWERS AND ORNAMENTAL FOLIAGE</t>
  </si>
  <si>
    <d:r xmlns:d="http://schemas.openxmlformats.org/spreadsheetml/2006/main">
      <d:rPr>
        <d:sz val="11"/>
        <d:rFont val="Calibri"/>
      </d:rPr>
      <d:t xml:space="preserve">https://members.wto.org/crnattachments/2024/SPS/EEC/24_04878_00_e.pdf
https://members.wto.org/crnattachments/2024/SPS/EEC/24_04878_00_f.pdf
https://members.wto.org/crnattachments/2024/SPS/EEC/24_04878_00_s.pdf</d:t>
    </d:r>
  </si>
  <si>
    <t>Commission Implementing Regulation (EU) 2024/2020 of 26 July 2024 amending and correcting Annex III to Implementing Regulation (EU) 2020/2235 as regards model certificates for the entry into the Union of consignments of certain categories of animals and certain products of animal origin intended for human consumption and correcting Implementing Regulation (EU) 2024/399 (Text with EEA relevance) (OJ L 2024/5196, 29 July 2024)</t>
  </si>
  <si>
    <t>This Implementing Regulation amends three model certificates (model ‘EU-FISH’, model ‘FISH-MOL-CAP’ and model ‘MOL-HC’) of Annex III to Implementing Regulation (EU) 2020/2235 by adding a new public health attestation reflecting the provisions laid down in Delegated Regulation (EU) 2023/905 as regards the application of the prohibition of use of certain antimicrobial medicinal products in animals or products of animal origin exported from third countries to the Union, and corrects one model certificate (model ‘NZ-TRANSIT-SG’) of Annex III to Implementing Regulation (EU) 2020/2235 by deletion of the attestation concerned, erroneously added thereto by Implementing Regulation (EU) 2024/399.</t>
  </si>
  <si>
    <t>Certain categories of terrestrial animals and germinal products thereof</t>
  </si>
  <si>
    <t>Human health; Animal health; Food safety; Animal diseases; Animal diseases; Food safety; Animal health; Human health</t>
  </si>
  <si>
    <d:r xmlns:d="http://schemas.openxmlformats.org/spreadsheetml/2006/main">
      <d:rPr>
        <d:sz val="11"/>
        <d:rFont val="Calibri"/>
      </d:rPr>
      <d:t xml:space="preserve">http://data.europa.eu/eli/reg_impl/2024/2020/oj
</d:t>
    </d:r>
  </si>
  <si>
    <t>K Acid (Quality Control) Order, 2024</t>
  </si>
  <si>
    <t>K Acid, also known as 2-Naphthylamine-3 : 6 : 8-trisulfonic acid, is an ammonolysis product that is a water soluble, stable compound with a sulfonic acid functional group. K Acid has been shown to be effective in wastewater treatment and can be used as a catalyst for the removal of chlorides and sulfates from wastewater. K Acid is also an excellent diazonium salt precursor that can be used in the production of dyes. The locally manufactured or imported K Acid shall conform to the Indian Standard (IS 11557:1986) and shall bear the Standard Mark under license from the Bureau of Indian Standards (BIS) as per Scheme-I of Schedule-II of the Bureau of Indian Standards (Conformity Assessment) Regulations, 2018. The use of Standard Mark is governed by the provisions of Bureau of Indian Standards Act, 2016 and the Rules and Regulations made thereunder. Bureau of Indian Standards shall be the certifying and enforcing authority.</t>
  </si>
  <si>
    <t>K Acid (HS Code -  29214590)</t>
  </si>
  <si>
    <t>292114 - 2-(N,N-Diisopropylamino)ethylchloride hydrochloride</t>
  </si>
  <si>
    <d:r xmlns:d="http://schemas.openxmlformats.org/spreadsheetml/2006/main">
      <d:rPr>
        <d:sz val="11"/>
        <d:rFont val="Calibri"/>
      </d:rPr>
      <d:t xml:space="preserve">https://members.wto.org/crnattachments/2024/TBT/IND/24_04868_00_e.pdf</d:t>
    </d:r>
  </si>
  <si>
    <t>SI 60745 part 1 – Hand-held  motor-operated  electric  tools – Safety:  General  requirements</t>
  </si>
  <si>
    <t xml:space="preserve">The revision process of the Mandatory Standard SI 60745 part 1, dealing with Hand-held motor-operated electric tools, to be replaced with SI 62841 part 1, was completed and published in Israel's Official Gazette, Section of Government Notice on 17 February 2019. A transition period was set and extended for these standards until 15 December 2024. The Commissioner of Standardization is promoting an additional extension until 15 December 2027._x000D_
During this time, products that require complying with the Mandatory Standard SI 60745 part 1 or any other Mandatory part of this series, may be imported into Israel according to either SI 60745 part 1 or SI 62841 part 1.</t>
  </si>
  <si>
    <t>Hand-held motor-operated electric tools (HS code(s): 843319; 846120; 846420; 847981); (ICS code(s): 25.140.20)</t>
  </si>
  <si>
    <t>843319 - Mowers for lawns, parks or sports grounds, powered, with the cutting device rotating in a vertical plane or with cutter bars; 846120 - Shaping or slotting machines, for working metals, metal carbides or cermets; 846420 - Grinding or polishing machines, for working stone, ceramics, concrete, asbestos-cement or like mineral materials or for cold-working glass (excl. machines for working in the hand); 847981 - Machinery for treating metal, incl. electric wire coil-winders, n.e.s. (excl. industrial robots, furnaces, dryers, spray guns and the like, high-pressure cleaning equipment and other jet cleaners, rolling millls or machines, machine tools and rope or cable-making machines)</t>
  </si>
  <si>
    <t>25.140.20 - Electric tools</t>
  </si>
  <si>
    <d:r xmlns:d="http://schemas.openxmlformats.org/spreadsheetml/2006/main">
      <d:rPr>
        <d:sz val="11"/>
        <d:rFont val="Calibri"/>
      </d:rPr>
      <d:t xml:space="preserve">https://members.wto.org/crnattachments/2024/TBT/ISR/24_04852_00_x.pdf</d:t>
    </d:r>
  </si>
  <si>
    <t>Electrical Clothes Dryers - Energy Performance, Testing and Labelling Requirements</t>
  </si>
  <si>
    <t>A draft technical regulation that specifies the Energy Performance, Testing and Labelling Requirements of Clothes Dryers and applies to clothes dryers with capacity up to 25 kg, that operate in AC single-phase of 230V with a frequency of 50 Hz.</t>
  </si>
  <si>
    <t>Laundry appliances (ICS code(s): 97.060)</t>
  </si>
  <si>
    <t>97.060 - Laundry appliances</t>
  </si>
  <si>
    <d:r xmlns:d="http://schemas.openxmlformats.org/spreadsheetml/2006/main">
      <d:rPr>
        <d:sz val="11"/>
        <d:rFont val="Calibri"/>
      </d:rPr>
      <d:t xml:space="preserve">https://members.wto.org/crnattachments/2024/TBT/BHR/24_04865_00_x.pdf</d:t>
    </d:r>
  </si>
  <si>
    <t>SDA/MAPA Ordinance No. 1.152, 19 July 2024.</t>
  </si>
  <si>
    <t>Establishes procedures for registration, control and inspection of commercial establishments of national and imported animal multiplication material.Revokes the Normative Instruction No. 56, 27 September 2006, published in the Official Gazette of the Union on 4 October 2006, Edition No. 191, Section 1.</t>
  </si>
  <si>
    <t>HS 05119910 - Animal embryos; HS 05119920 - Animal sêmen.</t>
  </si>
  <si>
    <t>051199 - Products of animal origin, n.e.s., dead animals, unfit for human consumption (excl. fish, crustaceans, molluscs or other aquatic invertebrates)</t>
  </si>
  <si>
    <d:r xmlns:d="http://schemas.openxmlformats.org/spreadsheetml/2006/main">
      <d:rPr>
        <d:sz val="11"/>
        <d:rFont val="Calibri"/>
      </d:rPr>
      <d:t xml:space="preserve">https://www.in.gov.br/en/web/dou/-/portaria-sda/mapa-n-1.152-de-19-de-julho-de-2024-573698152</d:t>
    </d:r>
  </si>
  <si>
    <t>H Acid, also known as 1-amino-8-naphthol-3,6-disulfonic acid, is an intermediate chemical used in the production of various dyes. H Acid is primarily used in the manufacturing of azo dyes, which finds applications in textile, leather, paper, and other industries.The locally manufactured or imported H Acid shall conform to the Indian Standard (IS 8637:2020) and shall bear the Standard Mark under license from the Bureau of Indian Standards (BIS) as per Scheme-I of Schedule-II of the Bureau of Indian Standards (Conformity Assessment) Regulations, 2018. The use of Standard Mark is governed by the provisions of Bureau of Indian Standards Act, 2016 and the Rules and Regulations made thereunder. Bureau of Indian Standards shall be the certifying and enforcing authority.</t>
  </si>
  <si>
    <t>292221 - Aminohydroxynaphthalenesulphonic acids and their salts</t>
  </si>
  <si>
    <t>PROYECTO DE NORMA TECNICA PERUANA PNTP 202.900:2024 - "Envase y embalaje. Adhesivos para etiquetas en empaques y envases de alimentos. Especificaciones" (Draft Peruvian Technical Standard (PNTP) No. 202.900:2024, "Packaging. Adhesives for food packaging labels. Specifications") (32 pages, in Spanish)</t>
  </si>
  <si>
    <t xml:space="preserve">The notified draft Peruvian Technical Standard establishes quality specifications and characteristics for high-tack adhesives used for self-adhesive food packaging labels. G/TBT/N/PER/162 - 6 -   This draft Peruvian Technical Standard applies to high-tack adhesives used for various types of self-adhesive food packaging labels.</t>
  </si>
  <si>
    <t xml:space="preserve">TARIFF HEADING DESCRIPTION 0209 Pig fat, free of lean meat, and poultry fat, not rendered or otherwise extracted, fresh, chilled, frozen, salted, in brine, dried or smoked. 0306 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flours, meals and pellets of crustaceans, fit for human consumption. G/TBT/N/PER/162 - 2 -   0307 Molluscs, whether in shell or not, live, fresh, chilled, frozen, dried, salted or in brine; smoked molluscs, whether in shell or not, whether or not cooked before or during the smoking process; flours, meals and pellets of molluscs, fit for human consumption. 0401 Milk and cream, not concentrated nor containing added sugar or other sweetening matter. 0402 Milk and cream, concentrated or containing added sugar or other sweetening matter. 0402991000 Condensed milk 0402999000 Other milk and cream, containing added sugar or other sweetening matter 0403100020 Yogurt, flavoured or containing added fruit, nuts or cocoa, whether or not containing added sugar or other sweetening matter 0405 Butter and other fats and oils derived from milk; dairy spreads. 040590 Other fats and oils derived from milk 0406 Cheese and curd. 0406909000 Other cheese 0802 Other nuts, fresh or dried, whether or not shelled or peeled. 160239 Other prepared or preserved meat, meat offal or blood of poultry of heading 01.05 1604 Prepared or preserved fish; caviar and caviar substitutes prepared from fish eggs. 1701 Cane or beet sugar and chemically pure sucrose, in solid form. 1704 Sugar confectionery (including white chocolate), not containing cocoa. 1806 Chocolate and other food preparations containing cocoa. 2009 Fruit juices (including grape must) and vegetable juices, unfermented and not containing added spirit, whether or not containing added sugar or other sweetening matter. 2103 Sauces and preparations therefor; mixed condiments and mixed seasonings; mustard flour and meal and prepared mustard. 1517100000 Margarine, excluding liquid margarine 1517900000 Margarine; edible mixtures or preparations of animal or vegetable fats or oils or of fractions of different fats or oils of this Chapter, other than edible fats or oils or their fractions of heading 15.16 G/TBT/N/PER/162 - 3 -   1601000000 Sausages and similar products, of meat, meat offal or blood; food preparations based on these products. 1602100000 Homogenised preparations 1602200000 Prepared or preserved liver of any animal 1602321090 Other prepared or preserved meat, meat offal or blood of fowls of the species Gallus domesticus, seasoned and frozen 1602500000 Prepared or preserved meat, meat offal or blood of bovine animals 1602900000 Other, including preparations of blood of any animal 1702200000 Maple sugar and maple syrup 1702309000 Glucose, not containing fructose or containing in the dry state less than 20% by weight of fructose 1702901000 Artificial honey, whether or not mixed with natural honey 1702903000 Sugars containing added flavouring or colouring matter, containing in the dry state 50% by weight of fructose 1702904000 Other syrup containing in the dry state 50% by weight of fructose 1704101000 Chewing gum, sugar-coated 1704901000 Boiled sweets, pastilles and similar sugar confectionery 1704909000 Other sugar confectionery (including white chocolate), not containing cocoa 1806310000 Preparations in blocks, slabs or bars, other than those weighing more than 2 kg, or in liquid, paste, powder, granular or other bulk form in containers or immediate packings of a content exceeding 2 kg, filled 1806320000 Preparations in blocks, slabs or bars, other than those weighing more than 2 kg, or in liquid, paste, powder, granular or other bulk form in containers or immediate packings of a content exceeding 2 kg, not filled 1901909000 Food preparations of flour, groats, meal, starch or malt extract, not containing cocoa or containing less than 40% by weight of cocoa calculated on a totally defatted basis, not elsewhere specified or included; food preparations of goods of headings 04.01 to 04.04, not containing cocoa or containing less than 5% by weight of cocoa calculated on a totally defatted basis, not elsewhere specified or included 1902200000 Stuffed pasta, whether or not cooked or otherwise prepared 1904200000 Prepared foods obtained from unroasted cereal flakes or from mixtures of unroasted cereal flakes and roasted cereal flakes or swelled cereals G/TBT/N/PER/162 - 4 -   1904900000 Cereals (other than maize (corn)) in grain form or in the form of flakes or other worked grains (except flour, groats and meal), pre-cooked, or otherwise prepared, not elsewhere specified or included 1905100000 Crispbread (also known as knäckebrot) 1905200000 Gingerbread and the like 1905310000 Sweet biscuits 1905400000 Rusks, toasted bread and similar toasted products 1905901000 Salted or flavoured biscuits 1905909000 Other bread, pastry, cakes, biscuits and other bakers' wares, whether or not containing cocoa; communion wafers, empty cachets of a kind suitable for pharmaceutical use, sealing wafers, rice paper and similar products 2005200000 Potatoes, prepared or preserved otherwise than by vinegar or acetic acid, not frozen 2005590000 Other beans (Vigna spp., Phaseolus spp.) prepared or preserved otherwise than by vinegar or acetic acid, not frozen 2005600000 Asparagus, prepared or preserved otherwise than by vinegar or acetic acid, not frozen 2005700000 Olives, prepared or preserved otherwise than by vinegar or acetic acid, not frozen 2005800000 Sweet corn (Zea mays var. saccharata), prepared or preserved otherwise than by vinegar or acetic acid, not frozen 2005991000 Artichokes, prepared or preserved otherwise than by vinegar or acetic acid, not frozen 2005992000 Paprika (Capsicum annuum), prepared or preserved otherwise than by vinegar or acetic acid, not frozen 2005999000 Other vegetables and mixtures of vegetables, prepared or preserved otherwise than by vinegar or acetic acid, not frozen 2006000000 Vegetables, fruit, nuts, fruit-peel and other parts of plants, preserved by sugar (drained, glacé or crystallised) 2007911000 Jams, fruit jellies and marmalades of citrus fruit, obtained by cooking, whether or not containing added sugar or other sweetening matter 2007991100 Jams, fruit jellies and marmalades of pineapple, obtained by cooking, whether or not containing added sugar or other sweetening matter G/TBT/N/PER/162 - 5 -   2007999100 Jams, fruit jellies and marmalades of other fruits or nuts, obtained by cooking, whether or not containing added sugar or other sweetening matter 2103100000 Soya sauce 2103200000 Tomato ketchup and other tomato sauces 2103302000 Prepared mustard 2103901000 Mayonnaise 2103902000 Mixed condiments and mixed seasonings 2103909000 Other sauces and preparations therefor 2104101000 Preparations for soups and broths 2104102000 Soups and broths 2104200000 Homogenized composite food preparations 2105001000 Ice cream not containing milk or dairy products 2105009000 Other ice cream and other edible ice, whether or not containing cocoa 2106901000 Powders for table creams, jellies, ice creams, or similar preparations 2106906000 Sweetening preparations made using synthetic or artificial substances 2106907900 Other food supplements 2106908000 Formula, other than milk formula, for infants up to 12 months old 2106909000 Breast-milk substitutes 2106909000 Food supplements for infants and young children 2202100000 Waters, including mineral waters and aerated waters, containing added sugar or other sweetening matter or flavoured 2202900000 Other non-alcoholic beverages, not including fruit or vegetable juices of heading 20.09</t>
  </si>
  <si>
    <t>0209 - Pig fat, free of lean meat, and poultry fat, not rendered or otherwise extracted, fresh, chilled, frozen, salted, in brine, dried or smoked; 190220 - Pasta, stuffed with meat or other substances, whether or not cooked or otherwise prepared; 190420 - Prepared foods obtained from unroasted cereal flakes or from mixtures of unroasted cereal flakes and roasted cereal flakes or swelled cereals; 190490 - Cereals (excl. maize [corn]) in grain or flake form or other worked grains, pre-cooked or otherwise prepared, n.e.s. (excl. flour, groats and meal, food preparations obtained by swelling or roasting or from unroasted cereal flakes or from mixtures of unroasted cereal flakes and roasted cereal flakes or swelled cereals and bulgur wheat); 190510 - Crispbread; 190520 - Gingerbread and the like, whether or not containing cocoa; 190531 - Sweet biscuits; 190540 - Rusks, toasted bread and similar toasted products; 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 200520 - Potatoes, prepared or preserved otherwise than by vinegar or acetic acid (excl. frozen); 200559 - Unshelled beans "Vigna spp., Phaseolus spp.", prepared or preserved otherwise than by vinegar or acetic acid (excl. frozen); 200560 - Asparagus, prepared or preserved otherwise than by vinegar or acetic acid (excl. frozen); 200570 - Olives, prepared or preserved otherwise than by vinegar or acetic acid (excl. frozen); 200580 - Sweetcorn "Zea Mays var. Saccharata", prepared or preserved otherwise than by vinegar or acetic acid (excl. frozen); 200599 - Vegetables and mixtures of vegetables, prepared or preserved otherwise than by vinegar, non-frozen (excl. preserved by sugar, homogenised vegetables of subheading 2005.10, and tomatoes, mushrooms, truffles, potatoes, peas "Pisum sativum", beans "Vigna, Phaseolus", asparagus, olives, sweetcorn "Zea Mays var. Saccharata" and bamboo shoots, unmixed); 2006 - Vegetables, fruit, nuts, fruit-peel and other parts of plants, preserved by sugar (drained, glacé or crystallised).; 200791 - Citrus fruit jams, jellies, marmalades, purées or pastes, obtained by cooking, whether or not containing added sugar or other sweetening matter (excl. homogenised preparations of subheading 2007.10); 200799 - Jams, jellies, marmalades, purées or pastes of fruit, obtained by cooking, whether or not containing added sugar or other sweetening matter (excl. citrus fruit and homogenised preparations of subheading 2007.10); 2009 - Fruit juices, incl. grape must, and vegetable juices, unfermented, not containing added spirit, whether or not containing added sugar or other sweetening matter; 2103 - Sauce and preparations therefor; mixed condiments and mixed seasonings; mustard flour and meal, whether or not prepared, and mustard; 210310 - Soya sauce; 210320 - Tomato ketchup and other tomato sauces; 210330 - Mustard flour and meal, whether or not prepared, and mustard; 210390 - Preparations for sauces and prepared sauces; mixed condiments and seasonings (excl. soya sauce, tomato ketchup and other tomato sauces, mustard, and mustard flour and meal); 210410 - Soups and broths and preparations therefor; 210420 - Food preparations consisting of finely homogenised mixtures of two or more basic ingredients, such as meat, fish, vegetables or fruit, put up for retail sale as infant food or for dietetic purposes, in containers of &lt;= 250 g; 2105 - Ice cream and other edible ice, whether or not containing cocoa.; 210690 - Food preparations, n.e.s.; 190190 - Malt extract; food preparations of flour, groats, meal, starch or malt extract, not containing cocoa or containing &lt; 40% by weight of cocoa calculated on a totally defatted basis, n.e.s. and food preparations of milk, cream, butter milk, sour milk, sour cream, whey, yogurt, kephir or similar goods of heading 0401 to 0404, not containing cocoa or containing &lt; 5% by weight of cocoa calculated on a totally defatted basis, n.e.s. (excl. for infant use, put up for retail sale, and mixes and doughs for the preparation of bakers' wares of heading 1905); 180632 - Chocolate and other preparations containing cocoa, in blocks, slabs or bars of &lt;= 2 kg (excl. filled); 180631 - Chocolate and other preparations containing cocoa, in blocks, slabs or bars of &lt;= 2 kg, filled; 1806 - Chocolate and other food preparations containing cocoa; 0306 - Crustaceans, whether in shell or not, live, fresh, chilled, frozen, dried, salted or in brine, even smoked, incl. crustaceans in shell cooked by steaming or by boiling in water; 0307 - Molluscs, fit for human consumption, even smoked, whether in shell or not, live, fresh, chilled, frozen, dried, salted or in brine; 0401 - Milk and cream, not concentrated nor containing added sugar or other sweetening matter; 0402 - Milk and cream, concentrated or containing added sugar or other sweetening matter; 040299 - Milk and cream, concentrated and sweetened (excl. in solid forms); 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0405 - Butter, incl. dehydrated butter and ghee, and other fats and oils derived from milk; dairy spreads; 040590 - Fats and oils derived from milk, and dehydrated butter and ghee (excl. natural butter, recombined butter and whey butter); 0406 - Cheese and curd; 040690 - Cheese (excl. fresh cheese, incl. whey cheese, curd, processed cheese, blue-veined cheese and other cheese containing veins produced by "Penicillium roqueforti", and grated or powdered cheese); 0802 - Other nuts, fresh or dried, whether or not shelled or peeled (excl. coconuts, Brazil nuts and cashew nuts); 151710 - Margarine (excl. liquid); 151790 - Edible mixtures or preparations of animal or vegetable fats or oils and edible fractions of different fats or oils (excl. fats, oils and their fractions, partly or wholly hydrogenated, inter-esterified, re-esterified or elaidinised, whether or not refined, but not further prepared, mixtures of olive oils and their fractions, and solid margarine); 220210 - Waters, incl. mineral and aerated, with added sugar, sweetener or flavour, for direct consumption as a beverage; 1601 - Sausages and similar products, of meat, meat offal, blood or insects; food preparations based on these products.; 160220 - Preparations of liver of any animal (excl. sausages and similar products and finely homogenised preparations put up for retail sale as infant food or for dietetic purposes, in containers of a net weight of &lt;= 250 g); 160232 - Meat or offal of fowls of the species "Gallus domesticus", prepared or preserved (excl. sausages and similar products, finely homogenised preparations put up for retail sale as infant food or for dietetic purposes, in containers of a net weight of &lt;= 250 g, preparations of liver and meat extracts and juices); 160239 - Prepared or preserved meat or meat offal of ducks, geese and guinea fowl of the species domesticus (excl. sausages and similar products, finely homogenised preparations put up for retail sale as infant food or for dietetic purposes, in containers of a net weight of &lt;= 250 g, preparations of liver and meat extracts and juices); 160250 - Prepared or preserved meat or offal of bovine animals (excl. sausages and similar products, finely homogenised preparations put up for retail sale as infant food or for dietetic purposes, in containers of a net weight of &lt;= 250 g, preparations of liver and meat extracts and juices); 160290 - Prepared or preserved meat, offal, blood or insects (excl. meat or offal of poultry, swine and bovine animals, sausages and similar products, finely homogenised preparations put up for retail sale as infant food or for dietetic purposes, in containers of a net weight of &lt;= 250 g, preparations of liver and meat extracts and juices); 1604 - Prepared or preserved fish; caviar and caviar substitutes prepared from fish eggs; 1701 - Cane or beet sugar and chemically pure sucrose, in solid form; 170220 - Maple sugar, in solid form, and maple syrup (excl. flavoured or coloured); 170230 - Glucose in solid form and glucose syrup, not containing added flavouring or colouring matter and not containing fructose or containing in the dry state, &lt; 20% by weight of fructose; 170290 - 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 1704 - Sugar confectionery not containing cocoa, incl. white chocolate; 170410 - Chewing gum, whether or not sugar-coated; 170490 - Sugar confectionery not containing cocoa, incl. white chocolate (excl. chewing gum); 160210 - Homogenised prepared meat, offal, blood or insects, put up for retail sale as infant food or for dietetic purposes, in containers of &lt;= 250 g; 22029 - - Other:</t>
  </si>
  <si>
    <d:r xmlns:d="http://schemas.openxmlformats.org/spreadsheetml/2006/main">
      <d:rPr>
        <d:sz val="11"/>
        <d:rFont val="Calibri"/>
      </d:rPr>
      <d:t xml:space="preserve">https://members.wto.org/crnattachments/2024/TBT/PER/24_04864_00_s.pdf
</d:t>
    </d:r>
  </si>
  <si>
    <t>Proposal of 2 new mandatory standards  - The Consumer Goods (Infant Products) Information Standard and the Consumer Goods (Infant Sleep Products) Safety Standard </t>
  </si>
  <si>
    <t>The ACCC has completed a review of infant sleep products and recommended that the Minister makes two new mandatory standards.  A new safety standard that references existing voluntary Australian standards along with overseas standards and a new information standard.  The Minister has agreed with the ACCC's recommendation, and the new standards commenced on 19 July 2024.  The new safety and information standards are published on the Federal Register of Legislation.</t>
  </si>
  <si>
    <t>Infant Sleep Products’ being any product that has a surface on which an infant may lay which creates a sleep environment, including products that soothe or settle. Examples of Infant Sleep Products include infant hammocks, bassinets, bedside sleepers, inclined sleepers, sleep positioners or wedges, household cots and folding cots.‘Inclined Non-Sleep Products’ being any inclined product for infants that position the infant’s head above the horizontal, which is not designed, intended, marketed or contain any representations that it is suitable for sleep, but where an infant may still fall asleep. Examples of Inclined Non-Sleep Products include infant swings and bouncer seats. </t>
  </si>
  <si>
    <t>96 - MISCELLANEOUS MANUFACTURED ARTICLES; 96 - MISCELLANEOUS MANUFACTURED ARTICLES</t>
  </si>
  <si>
    <t>97 - DOMESTIC AND COMMERCIAL EQUIPMENT. ENTERTAINMENT. SPORTS; 97 - Domestic and commercial equipment. Entertainment. Sports</t>
  </si>
  <si>
    <d:r xmlns:d="http://schemas.openxmlformats.org/spreadsheetml/2006/main">
      <d:rPr>
        <d:sz val="11"/>
        <d:rFont val="Calibri"/>
      </d:rPr>
      <d:t xml:space="preserve">Consumer Goods (Infant Sleep Products) Safety Standard 2024 - https://www.legislation.gov.au/F2024L00891/asmade/text
Consumer Goods (Infant Sleep Products) Information Standard 2024 - https://www.legislation.gov.au/F2024L00892/asmade/text</d:t>
    </d:r>
  </si>
  <si>
    <t>Vinyl Sulphone (Quality Control) Order, 2024</t>
  </si>
  <si>
    <t>Vinyl Sulphone is an organic chemical used in the production of reactive dyes. These dyes are used in the textile industry to colour fabrics. Vinyl Sulphone based reactive dyes are also used in paints, plastics, rubber, and pigments. The product is highly reactive due to the presence of its electrophilic sulphonyl group. This reactivity is exploited in the dyeing process where  it reacts with nucleophilic groups on the textile fibres to form covalent bonds, resulting in excellent colour fastness. The locally manufactured or imported Vinyl Sulphone shall conform to the Indian Standard (IS 18340:2023) and shall bear the Standard Mark under license from the Bureau of Indian Standards (BIS) as per Scheme-I of Schedule-II of the Bureau of Indian Standards (Conformity Assessment) Regulations, 2018. The use of Standard Mark is governed by the provisions of Bureau of Indian Standards Act, 2016 and the Rules and Regulations made thereunder. Bureau of Indian Standards shall be the certifying and enforcing authority.</t>
  </si>
  <si>
    <t>Vinyl Sulphone (HS Code -  29041090)</t>
  </si>
  <si>
    <t>290410 - Derivatives of hydrocarbons containing only sulpho groups, their salts and ethyl esters</t>
  </si>
  <si>
    <d:r xmlns:d="http://schemas.openxmlformats.org/spreadsheetml/2006/main">
      <d:rPr>
        <d:sz val="11"/>
        <d:rFont val="Calibri"/>
      </d:rPr>
      <d:t xml:space="preserve">https://members.wto.org/crnattachments/2024/TBT/IND/24_04869_00_e.pdf</d:t>
    </d:r>
  </si>
  <si>
    <t>Letter of the Federal Service for Veterinary and Phytosanitary Surveillance No. FS-USh-7/14952 of 24 July 2024</t>
  </si>
  <si>
    <t>This letter introduces a temporary restriction on import of live poultry, poultry products, eggs, equipment for poultry, feed and feed additives for birds from the Unites States of America to the territory of the Russian Federation and on transit of the products mentioned through the Russian territory due to the outbreak of highly pathogenic avian influenza in the Unites States of America.</t>
  </si>
  <si>
    <t>Live poultry, egg products, meat and edible offal of poultry, poultry meat products, incubation egg of poultry, Incubation egg (except poultry egg), live bird (except poultry), feed and feed additives for birds, equipment for the maintenance, slaughter and cutting of birds (HS code(s): 0105; 0207; 0208; 0209; 0210; 0407; 0408; 0410; 0504; 0505; 0511; 1506; 1510; 1516; 1518; 1601; 1602; 1603; 190220; 190420; 2102; 2104; 2106; 2309; 2936; 3504; 3507; 3808; 3824; 3923; 3926; 4206; 4415; 4416; 4421; 7020; 7309; 7310; 7326; 7616; 843610; 84362; 843680; 860691; 8609; 8716; 950810; 9705)</t>
  </si>
  <si>
    <t>0105 - Live poultry, "fowls of the species Gallus domesticus, ducks, geese, turkeys and guinea fowls"; 3504 - Peptones and their derivatives; other protein substances and their derivatives, not elsewhere specified or included; hide powder, whether or not chromed.; 3507 - Enzymes; prepared enzymes, n.e.s.; 3808 - Insecticides, rodenticides, fungicides, herbicides, anti-sprouting products and plant-growth regulators, disinfectants and similar products, put up for retail sale or as preparations or articles, e.g. sulphur-treated bands, wicks and candles, and fly-papers; 3824 - Prepared binders for foundry moulds or cores; chemical products and preparations for the chemical or allied industries, incl. mixtures of natural products, n.e.s.; 3923 - Articles for the conveyance or packaging of goods, of plastics; stoppers, lids, caps and other closures, of plastics; 3926 - Articles of plastics and articles of other materials of heading 3901 to 3914, n.e.s.; 4206 - Articles of gut (other than silk-worm gut), of goldbeater's skin, of bladders or of tendons.; 4415 - Packing cases, boxes, crates, drums and similar packings, of wood; cable-drums of wood; pallets, box pallets and other load boards, of wood; pallet collars of wood (excl. containers specially designed and equipped for one or more modes of transport); 4416 - Casks, barrels, vats, tubs and other coopers' products and parts thereof, of wood, including staves.; 2936 - Provitamins and vitamins, natural or reproduced by synthesis, incl. natural concentrates, derivatives thereof used primarily as vitamins, and intermixtures of the foregoing, whether or not in any solvent; 4421 - Other articles of wood, n.e.s.; 7309 - Reservoirs, tanks, vats and similar containers for any material (other than compressed or liquefied gas), of iron or steel, of a capacity exceeding 300 l, whether or not lined or heat-insulated, but not fitted with mechanical or thermal equipment.; 7310 - Tanks, casks, drums, cans, boxes and similar containers, of iron or steel, for any material "other than compressed or liquefied gas", of a capacity of &lt;= 300 l, not fitted with mechanical or thermal equipment, whether or not lined or heat-insulated, n.e.s.; 7326 - Articles of iron or steel, n.e.s. (excl. cast articles); 7616 - Articles of aluminium, n.e.s.; 843610 - Machinery for preparing animal feedingstuffs in agricultural holdings and similar undertakings (excl. machinery for the feedingstuff industry, forage harvesters and autoclaves for cooking fodder); 84362 - - Poultry-keeping machinery; poultry incubators and brooders:; 843680 - Agricultural, horticultural, forestry or bee-keeping machinery, n.e.s.; 860691 - Railway or tramway goods vans and wagons, covered and closed (excl. self-discharging goods vans and wagons and tank wagons and the like); 8609 - Containers (including containers for the transport of fluids) specially designed and equipped for carriage by one or more modes of transport.; 7020 - Other articles of glass.; 8716 - Trailers and semi-trailers; other vehicles, not mechanically propelled (excl. railway and tramway vehicles); parts thereof, n.e.s.; 2309 - Preparations of a kind used in animal feeding; 2104 - Soups and broths and preparations therefor; food preparations consisting of finely homogenised mixtures of two or more basic ingredients such as meat, fish, vegetables or fruit, put up for retail sale as infant food or for dietetic purposes, in containers of &lt;= 250 g;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0210 - Meat and edible offal, salted, in brine, dried or smoked; edible flours and meals of meat or meat offal; 0407 - Birds' eggs, in shell, fresh, preserved or cooked; 0408 - Birds' eggs, not in shell, and egg yolks, fresh, dried, cooked by steaming or by boiling in water, moulded, frozen or otherwise preserved, whether or not containing added sugar or other sweetening matter; 0410 - Insects, turtles' eggs, birds' nests and other edible products of animal origin, n.e.s.; 0504 - Guts, bladders and stomachs of animals (other than fish), whole and pieces thereof, fresh, chilled, frozen, salted, in brine, dried or smoked.; 0505 - Skins and other parts of birds, with their feathers or down, feathers and parts of feathers, whether or not with trimmed edges, and down, not further worked than cleaned, disinfected or treated for preservation; powder and waste of feathers or parts of feathers; 2106 - Food preparations, n.e.s.; 0511 - Animal products n.e.s.; dead animals of all types, unfit for human consumption; 1510 - Other oils and their fractions, obtained solely from olives, whether or not refined, but not chemically modified, incl. blends of these oils or fractions with oils or fractions of heading 1509; 1516 - Animal, vegetable or microbial fats and oils and their fractions, partly or wholly hydrogenated, inter-esterified, re-esterified or elaidinised, whether or not refined, but not further prepared; 1518 - Animal, vegetable or microbial fats and oils and their fractions, boiled, oxidised, dehydrated, sulphurised, blown, polymerised by heat in vacuum or in inert gas or otherwise chemically modified, excluding those of heading 15.16; inedible mixtures or preparations of animal, vegetable or microbial fats or oils or of fractions of different fats or oils of this Chapter, not elsewhere specified or included.; 1601 - Sausages and similar products, of meat, meat offal, blood or insects; food preparations based on these products.; 1602 - Prepared or preserved meat, meat offal, blood or insects (excl. sausages and similar products, and meat extracts and juices); 1603 - Extracts and juices of meat, fish or crustaceans, molluscs or other aquatic invertebrates.; 190220 - Pasta, stuffed with meat or other substances, whether or not cooked or otherwise prepared; 190420 - Prepared foods obtained from unroasted cereal flakes or from mixtures of unroasted cereal flakes and roasted cereal flakes or swelled cereals; 2102 - Yeasts, active or inactive; other dead single-cell micro-organisms, prepared baking powders (excl. single-cell micro-organisms packaged as medicaments); 1506 - Other animal fats and oils and their fractions, whether or not refined, but not chemically modified.; 950810 - Travelling circuses and travelling menageries; 9705 - Collections and collector's pieces of zoological, botanical, mineralogical, anatomical, historical, archaeological, palaeontological, ethnographic or numismatic interest</t>
  </si>
  <si>
    <t>Animal health; Animal diseases; Avian Influenza; Zoonoses</t>
  </si>
  <si>
    <d:r xmlns:d="http://schemas.openxmlformats.org/spreadsheetml/2006/main">
      <d:rPr>
        <d:sz val="11"/>
        <d:rFont val="Calibri"/>
      </d:rPr>
      <d:t xml:space="preserve">https://members.wto.org/crnattachments/2024/SPS/RUS/24_04870_00_x.pdf
https://fsvps.gov.ru/files/ukazanie-rosselhoznadzora-ot-24-ijulja-2024-goda-fs-jush-7-14952/</d:t>
    </d:r>
  </si>
  <si>
    <t>Draft Commission Implementing Decision on the non-approval of certain active substances for use in biocidal products in accordance with Regulation (EU) No 528/2012 of the European Parliament and of the Council</t>
  </si>
  <si>
    <t>This draft Commission Implementing Decision does not approve certain active substances in biocidal products pursuant to Regulation (EU) No 528/2012 of the European Parliament and of the Council. For these active substance/product-type combinations included in the review programme of existing active substances listed in Annex II to Regulation (EU) No 1062/2014, all the participants have withdrawn or are considered to have withdrawn their support. For these active substances the role of participant had not been previously taken over. No notification has been submitted to the European Chemicals Agency. Therefore, these active substance/product-type combinations should not be approved for use in biocidal products.</t>
  </si>
  <si>
    <t>Biocidal products and treated articles treated with or incorporating biocidal products</t>
  </si>
  <si>
    <d:r xmlns:d="http://schemas.openxmlformats.org/spreadsheetml/2006/main">
      <d:rPr>
        <d:sz val="11"/>
        <d:rFont val="Calibri"/>
      </d:rPr>
      <d:t xml:space="preserve">https://members.wto.org/crnattachments/2024/TBT/EEC/24_04863_00_e.pdf
https://members.wto.org/crnattachments/2024/TBT/EEC/24_04863_01_e.pdf</d:t>
    </d:r>
  </si>
  <si>
    <t>DKS 452: 2024 Stainless steel sinks for domestic purposes — Specification</t>
  </si>
  <si>
    <t>This Draft Kenya Standard specifies the dimensional, Functional and test methods requirement for stainless steel sinks intended for domestic use</t>
  </si>
  <si>
    <t>Sinks and washbasins, of stainless steel (HS code(s): 732410); Sanitary installations (ICS code(s): 91.140.70)</t>
  </si>
  <si>
    <t>732410 - Sinks and washbasins, of stainless steel</t>
  </si>
  <si>
    <t>91.140.70 - Sanitary installations</t>
  </si>
  <si>
    <t>Consumer information, labelling (TBT); Prevention of deceptive practices and consumer protection (TBT); Quality requirements (TBT); Reducing trade barriers and facilitating trade (TBT)</t>
  </si>
  <si>
    <d:r xmlns:d="http://schemas.openxmlformats.org/spreadsheetml/2006/main">
      <d:rPr>
        <d:sz val="11"/>
        <d:rFont val="Calibri"/>
      </d:rPr>
      <d:t xml:space="preserve">https://members.wto.org/crnattachments/2024/TBT/KEN/24_04862_00_e.pdf</d:t>
    </d:r>
  </si>
  <si>
    <t>Draft Resolution 1269, 16 July 2024</t>
  </si>
  <si>
    <t>This draft Resolution proposes the inclusion of active ingredient B69 - BACULOVIRUS CYDIA POMONELLA GRANULOVIRUS on the Monograph List of Active Ingredients for Pesticides, Household Cleaning Products and Wood Preservatives, which was published by Normative Instruction 103 on 19 October 2021 in the Brazilian Official Gazette (DOU - Diário Oficial da União).</t>
  </si>
  <si>
    <d:r xmlns:d="http://schemas.openxmlformats.org/spreadsheetml/2006/main">
      <d:rPr>
        <d:sz val="11"/>
        <d:rFont val="Calibri"/>
      </d:rPr>
      <d:t xml:space="preserve">https://members.wto.org/crnattachments/2024/SPS/BRA/24_04859_00_x.pdf
Draft: https://antigo.anvisa.gov.br/documents/10181/6795041/CONSULTA+P%C3%9ABLICA+N%C2%BA+1269+GGTOX.pdf/2d723623-2a5d-421e-bf00-f54ce7724d62
Comment form: https://www.gov.br/anvisa/pt-br/centraisdeconteudo/publicacoes/agrotoxicos/formulario-padrao-consulta-publica-ggtox.docx/view</d:t>
    </d:r>
  </si>
  <si>
    <t xml:space="preserve">DEAS 1169:2023 Raw Macadamia nuts- inshell — Specification_x000D_
</t>
  </si>
  <si>
    <t xml:space="preserve">Burundi, Kenya, Rwanda, Tanzania and Uganda would like to inform WTO Members that the Draft East African Standard; DEAS 1169:2023 Raw Macadamia nuts- inshell — Specification; notified in G/TBT/N/BDI/402, G/TBT/N/KEN/1497, G/TBT/N/RWA/926, G/TBT/N/TZA/1030 and G/TBT/N/UGA/1837 was adopted by the East African Community Council of Ministers on 14 June 2024. A copy of the document can be obtained via the following link at a basic fee; https://webstore.kebs.org_x000D_
</t>
  </si>
  <si>
    <t>- Macadamia nuts: (HS code(s): 08026); Animal and vegetable fats and oils (ICS code(s): 67.200.10)</t>
  </si>
  <si>
    <t>08026 - - Macadamia nuts:; 08026 - - Macadamia nuts:</t>
  </si>
  <si>
    <t>Consumer information, labelling (TBT); Consumer information, labelling (TBT); Prevention of deceptive practices and consumer protection (TBT); Prevention of deceptive practices and consumer protection (TBT); Protection of human health or safety (TBT); Protection of human health or safety (TBT); Quality requirements (TBT); Quality requirements (TBT); Harmonization (TBT); Harmonization (TBT); Reducing trade barriers and facilitating trade (TBT); Reducing trade barriers and facilitating trade (TBT)</t>
  </si>
  <si>
    <t>Draft Ministry of Public Health Notification (MOPH), No. ... B.E. ..., entitled “Import requirements and conditions for food with risk from Bovine Spongiform Encephalopathy”</t>
  </si>
  <si>
    <t>Under point 5 of the notification G/SPS/N/THA/232/Rev.2, the wrong English version link was entered. The correct English version link is given in this new notification:</t>
  </si>
  <si>
    <t>0506 - Bones and horn-cores and their powder and waste, unworked, defatted, simply prepared, treated with acid or degelatinised (excl. cut to shape); 04 - DAIRY PRODUCE; BIRDS' EGGS; NATURAL HONEY; EDIBLE PRODUCTS OF ANIMAL ORIGIN, NOT ELSEWHERE SPECIFIED OR INCLUDED; 0202 - Meat of bovine animals, frozen; 0201 - Meat of bovine animals, fresh or chilled; 1502 - Fats of bovine animals, sheep or goats, other than those of heading 15.03.; 0201 - Meat of bovine animals, fresh or chilled; 0202 - Meat of bovine animals, frozen; 04 - DAIRY PRODUCE; BIRDS' EGGS; NATURAL HONEY; EDIBLE PRODUCTS OF ANIMAL ORIGIN, NOT ELSEWHERE SPECIFIED OR INCLUDED; 0506 - Bones and horn-cores and their powder and waste, unworked, defatted, simply prepared, treated with acid or degelatinised (excl. cut to shape); 1502 - Fats of bovine animals, sheep or goats, other than those of heading 15.03.</t>
  </si>
  <si>
    <t>Animal diseases; Food safety; Animal health; Human health; Bovine Spongiform Encephalopathy (BSE); Animal health; Bovine Spongiform Encephalopathy (BSE); Human health; Food safety; Animal diseases</t>
  </si>
  <si>
    <d:r xmlns:d="http://schemas.openxmlformats.org/spreadsheetml/2006/main">
      <d:rPr>
        <d:sz val="11"/>
        <d:rFont val="Calibri"/>
      </d:rPr>
      <d:t xml:space="preserve">https://members.wto.org/crnattachments/2024/SPS/THA/24_04857_00_e.pdf</d:t>
    </d:r>
  </si>
  <si>
    <t>The Ministry of Public Health Notification, B.E, entitled "The Labelling of Pre-packaged foods.”</t>
  </si>
  <si>
    <t>The Draft Ministry of Public Health notification entitled "The Labelling of Pre-packaged foods ", previously notified in G/TBT/N/THA/679 dated 17 October 2022, was published in the Royal Gazette dated 18 July 2024 as Notification of the Ministry of Public Health No. 450.Date of entry into force: 19 July 2025 (This notification shall come into force after the day following date of its publication in the Royal Gazette.)Thailand TBT Enquiry Point for Agricultural Commodity and FoodNational Bureau of Agricultural Commodity and Food Standards (ACFS)50 Phaholyothin Road, LadyaoChatuchak, Bangkok 10900ThailandTel: +(662) 561 4204Fax: +(662) 561 4034E-mail: spsthailand@gmail.comWebsites: http://www.acfs.go.thhttps://spsthailand.acfs.go.th/th/main </t>
  </si>
  <si>
    <t>Pre packaged foods (ICS 67.230).</t>
  </si>
  <si>
    <d:r xmlns:d="http://schemas.openxmlformats.org/spreadsheetml/2006/main">
      <d:rPr>
        <d:sz val="11"/>
        <d:rFont val="Calibri"/>
      </d:rPr>
      <d:t xml:space="preserve">https://members.wto.org/crnattachments/2024/TBT/THA/final_measure/24_04855_00_x.pdf</d:t>
    </d:r>
  </si>
  <si>
    <t>ORDINANCE SDA/MAPA No. 1.146, of 16 July 2024 - Establishes phytosanitary requirements for the import of propagative material of Nepenthes spp. of any origin</t>
  </si>
  <si>
    <t>The phytosanitary requirements for the import of propagative material (seeds, seedlings and in vitro seedlings) of Nepenthes spp., of any origin, are established.</t>
  </si>
  <si>
    <t>Propagative material of Nepenthes spp.</t>
  </si>
  <si>
    <t>06 - LIVE TREES AND OTHER PLANTS; BULBS, ROOTS AND THE LIKE; CUT FLOWERS AND ORNAMENTAL FOLIAGE</t>
  </si>
  <si>
    <t>Plant protection (SPS); Protect humans from animal/plant pest or disease (SPS)</t>
  </si>
  <si>
    <d:r xmlns:d="http://schemas.openxmlformats.org/spreadsheetml/2006/main">
      <d:rPr>
        <d:sz val="11"/>
        <d:rFont val="Calibri"/>
      </d:rPr>
      <d:t xml:space="preserve">https://members.wto.org/crnattachments/2024/SPS/BRA/24_04858_00_x.pdf
https://www.in.gov.br/en/web/dou/-/portaria-sda/mapa-n-1.146-de-16-de-julho-de-2024-572916794</d:t>
    </d:r>
  </si>
  <si>
    <t>Kyrgyz Republic</t>
  </si>
  <si>
    <d:r xmlns:d="http://schemas.openxmlformats.org/spreadsheetml/2006/main">
      <d:rPr>
        <d:sz val="11"/>
        <d:rFont val="Calibri"/>
      </d:rPr>
      <d:t xml:space="preserve">https://members.wto.org/crnattachments/2024/SPS/KGZ/24_04839_00_x.pdf
https://docs.eaeunion.org/ria/ru-ru/0106497/ria_11032024</d:t>
    </d:r>
  </si>
  <si>
    <t>The Ministry of Public Health Notification entitled "The Labelling of Pre-packaged foods"</t>
  </si>
  <si>
    <t>The Draft Ministry of Public Health Notification entitled "The Labelling of Pre-packaged foods", previously notified in G/SPS/N/THA/583 dated 18 October 2022, was published in the Royal Gazette dated 18 July 2024 as Notification of the Ministry of Public Health No. 450.Date of entry into force: 19 July 2025 (This notification shall come into force after the day following date of its publication in the Royal Gazette.)</t>
  </si>
  <si>
    <t>Pre‑packaged foods (ICS code: 67.230)</t>
  </si>
  <si>
    <t>Human health; Adoption/publication/entry into force of reg.; Labelling; Food safety; Labelling; Food safety; Human health</t>
  </si>
  <si>
    <d:r xmlns:d="http://schemas.openxmlformats.org/spreadsheetml/2006/main">
      <d:rPr>
        <d:sz val="11"/>
        <d:rFont val="Calibri"/>
      </d:rPr>
      <d:t xml:space="preserve">https://members.wto.org/crnattachments/2024/SPS/THA/24_04856_00_x.pdf</d:t>
    </d:r>
  </si>
  <si>
    <t>Resolución Directoral No D000025-2024-MIDAGRI-SENASA-DSV (Directorial Resolution No. D000025-2024-MIDAGRI-SENASA-DSV) The National Agrarian Health Service (SENASA) hereby advises that the Directorial Resolution establishing mandatory phytosanitary requirements for the importation of fresh pears originating in and coming from Belgium has been adopted. https://members.wto.org/crnattachments/2024/SPS/PER/24_04714_00_s.pdf</t>
  </si>
  <si>
    <t>Fresh pears (Pyrus communis)</t>
  </si>
  <si>
    <t>080830 - Fresh pears; 080830 - Fresh pears</t>
  </si>
  <si>
    <t>Plant health; Adoption/publication/entry into force of reg.; Pests; Pest- or Disease- free Regions / Regionalization; Adoption/publication/entry into force of reg.; Plant health; Pest- or Disease- free Regions / Regionalization; Pests</t>
  </si>
  <si>
    <d:r xmlns:d="http://schemas.openxmlformats.org/spreadsheetml/2006/main">
      <d:rPr>
        <d:sz val="11"/>
        <d:rFont val="Calibri"/>
      </d:rPr>
      <d:t xml:space="preserve">https://members.wto.org/crnattachments/2024/SPS/PER/24_04714_00_s.pdf</d:t>
    </d:r>
  </si>
  <si>
    <t>ORDINANCE SDA/MAPA No. 1.148, of 16 July 2024 - Submits to Public Consultation the proposal for an Ordinance that establishes the National Program for Prevention and Control of the disease called Huanglongbing (HLB) - PNCHLB</t>
  </si>
  <si>
    <t xml:space="preserve">The proposed Ordinance that establishes the National Prevention and Control Program for the disease called Huanglongbing (HLB)- PNCHLB is submitted to public consultation for a period of 60 days, counting from the date of publication of this Ordinance._x000D_
The Draft Ordinance is available on: https://www.gov.br/agricultura/pt-br/, Access to Information link, "Consulta Pública”. </t>
  </si>
  <si>
    <t>Vegetal products</t>
  </si>
  <si>
    <t>Plant health; Territory protection; Bacteria; Plant diseases</t>
  </si>
  <si>
    <d:r xmlns:d="http://schemas.openxmlformats.org/spreadsheetml/2006/main">
      <d:rPr>
        <d:sz val="11"/>
        <d:rFont val="Calibri"/>
      </d:rPr>
      <d:t xml:space="preserve">https://members.wto.org/crnattachments/2024/SPS/BRA/24_04845_00_x.pdf
https://members.wto.org/crnattachments/2024/SPS/BRA/24_04845_01_x.pdf
https://www.in.gov.br/en/web/dou/-/portaria-sda/mapa-n-1.148-de-16-de-julho-de-2024-573217687</d:t>
    </d:r>
  </si>
  <si>
    <t>Discussion paper: Identifying a new approach for developing and maintaining Canadian fresh fruit and vegetable grade standards (11 and 12 pages, available in English and French)Online questionnaire: Identifying a new approach for developing and maintaining Canadian fresh fruit and vegetable grade standards (4 pages, available in English and French).</t>
  </si>
  <si>
    <t>The CFIA seeks feedback to inform decisions on selecting a new approach for developing and maintaining Canadian fresh fruit and vegetable grades.   </t>
  </si>
  <si>
    <t>Fruits and Vegetables (HS codes Level 1, 07 and 08)</t>
  </si>
  <si>
    <t>07 - EDIBLE VEGETABLES AND CERTAIN ROOTS AND TUBERS; 08 - EDIBLE FRUIT AND NUTS; PEEL OF CITRUS FRUIT OR MELONS</t>
  </si>
  <si>
    <d:r xmlns:d="http://schemas.openxmlformats.org/spreadsheetml/2006/main">
      <d:rPr>
        <d:sz val="11"/>
        <d:rFont val="Calibri"/>
      </d:rPr>
      <d:t xml:space="preserve">https://inspection.canada.ca/en/about-cfia/transparency/consultations-and-engagement/discussion-paper-identifying-new-approach-developing-and-maintaining-canadian-fresh-fruit-and (English)
https://inspection.canada.ca/fr/propos-lacia/transparence/consultations-participation/document-discussion-trouver-nouvelle-approche-lelaboration-tenue-jour-normes-categorie-canadiennes (French)
https://ca1se.voxco.com/SE/93/vegetables_fruits_legumes/?&amp;lang=en (English)
https://ca1se.voxco.com/SE/93/vegetables_fruits_legumes/?&amp;lang=fr (French)</d:t>
    </d:r>
  </si>
  <si>
    <t>Resolution establishing phytosanitary measures for the importation of plants for planting and in vitro plants of the Musaceae (Musa sp.) family originating in any country, and phytosanitary measures to mitigate the risk of the Fusarium oxysporum f. sp. cubense tropical race 4 (Foc TR4) pest Costa Rica hereby advises of the entry into force of the phytosanitary measures notified in document G/SPS/N/CRI/266, adopted pursuant to Resolution No. 060-2024-CV-ARP-SFE of the State Phytosanitary Service, Standards and Regulations Department, Pest Risk Analysis Unit, establishing phytosanitary measures for the importation of plants for planting and in vitro plants of the Musaceae (Musa sp.) family originating in any country, and establishing phytosanitary measures to mitigate the risk of the Fusarium oxysporum f. sp. cubense tropical race 4 (Foc TR4) pest. https://members.wto.org/crnattachments/2024/SPS/CRI/24_04846_00_s.pdf</t>
  </si>
  <si>
    <t>Plantas para plantar, plantas in vitro, partes secas y desechos de plantas de Musaceae; medios de crecimiento inertes, turba, peat-moss, Sphagnum sp.; calzado, ropa o herramientas de trabajo de pasajeros provenientes de países con presencia de Foc R4T; contenedores y medios de transporte que movilizan material vegetal de países con presencia de Foc R4T</t>
  </si>
  <si>
    <t>Plant health; Pests; Territory protection; Adoption/publication/entry into force of reg.; Pests; Territory protection; Plant health</t>
  </si>
  <si>
    <d:r xmlns:d="http://schemas.openxmlformats.org/spreadsheetml/2006/main">
      <d:rPr>
        <d:sz val="11"/>
        <d:rFont val="Calibri"/>
      </d:rPr>
      <d:t xml:space="preserve">https://members.wto.org/crnattachments/2024/SPS/CRI/24_04846_00_s.pdf</d:t>
    </d:r>
  </si>
  <si>
    <t>“Proposed group standard for treated seed: Consultation document”</t>
  </si>
  <si>
    <t>The EPA is proposing to issue a new group standard for treated seed under the Hazardous Substances and New Organisms Act 1996 (the HSNO Act). Under the HSNO Act, group standards are a type of approval for a group of hazardous substances of a similar nature, type or use. Importers and manufacturers can self-assign their substances to a group standard as long as their substances meet the conditions of the standard. Regulating treated seed is aligned with the approaches of many international regulators. The group standard would apply to imported or manufactured treated seed where the coating contains an active ingredient that is a component of a plant protection product, where that plant protection product has an approval under section 28A or section 29 of the Act. It will likely affect people who have previously been importing treated seed without needing an approval.Plant protection products are defined in the proposed group standard and include, but are not limited to, repellents, pesticides,  growth regulators, and biopesticides.The group standard would include a suite of conditions relating to treated seed that people must comply with. This includes anyone importing, manufacturing, supplying, storing, using, or disposing of treated seed. To comply, they may need to add new information to their product labels and safety data sheets.If a treated seed group standard is issued, treated seed importers and manufacturers will need to know the hazard classification(s) of the seed treatment substance. To meet the proposed scope, they’d also need to ensure that the seeds have been, or will be, treated with a substance containing an active ingredient(s) approved for use in New Zealand. Otherwise, they would need to apply for a new Part 5 approval.The use of the group standards would require knowledge of the composition and hazards of seed treatment formulation used to coat the seed in order to ensure compliance. Under the proposed group standard, importers would be required to annually report on the total volume of treated seed imported (in kilograms), the names of the active ingredients used to treat the seed, and the quantity of active ingredients used to treat seeds. New Zealand manufacturers of treated seed coated with a seed treatment formulation that has an existing EPA approval may choose to comply with that existing approval or self-assign their substances to the new group standard and meet its requirements instead (refer to section 96E(2) of the HSNO Act).</t>
  </si>
  <si>
    <t>Imported or locally manufactured seed that has been coated and/or encapsulated with a surface applied technology for the purpose of preventing pest incursion or damage.</t>
  </si>
  <si>
    <t>65.020.20 - Plant growing</t>
  </si>
  <si>
    <d:r xmlns:d="http://schemas.openxmlformats.org/spreadsheetml/2006/main">
      <d:rPr>
        <d:sz val="11"/>
        <d:rFont val="Calibri"/>
      </d:rPr>
      <d:t xml:space="preserve">https://www.epa.govt.nz/public-consultations/open-consultations/proposed-group-standard-for-treated-seed</d:t>
    </d:r>
  </si>
  <si>
    <d:r xmlns:d="http://schemas.openxmlformats.org/spreadsheetml/2006/main">
      <d:rPr>
        <d:sz val="11"/>
        <d:rFont val="Calibri"/>
      </d:rPr>
      <d:t xml:space="preserve">https://members.wto.org/crnattachments/2024/SPS/KGZ/24_04613_00_x.pdf
https://docs.eaeunion.org/ria/ru-ru/0106708/ria_07062024</d:t>
    </d:r>
  </si>
  <si>
    <t>The draft provides for amendments to the actions of the inspectors conducting veterinary inspections of third countries establishments. It also authorizes competent authorities to exclude enterprises that have not supplied the goods (products) under control to the customs territory of the Eurasian Economic Union for five years from the Registry of Establishments authorized to export to the the Eurasian Economic Union. The draft also specifies the conditions under which exports of the goods (products) under control from a third-country enterprise are subject to suspension. As well, the draft determines the procedure for the initiator of a joint verification (inspection) of third-country enterprises with respect to the suspension of exports from the enterprises that refuse to carry out verification (inspection) though being selected for it.</t>
  </si>
  <si>
    <d:r xmlns:d="http://schemas.openxmlformats.org/spreadsheetml/2006/main">
      <d:rPr>
        <d:sz val="11"/>
        <d:rFont val="Calibri"/>
      </d:rPr>
      <d:t xml:space="preserve">https://members.wto.org/crnattachments/2024/SPS/KGZ/24_04614_00_x.pdf
https://members.wto.org/crnattachments/2024/SPS/KGZ/24_04614_01_x.pdf</d:t>
    </d:r>
  </si>
  <si>
    <t>DEAS 1122: 2022 Sport balls – specification – Part 1 – Outdoor footballs</t>
  </si>
  <si>
    <t>Burundi, Kenya, Rwanda, Tanzania and Uganda would like to inform WTO Members that the Draft East African Standard; DEAS 1122: 2022 Sport balls – specification – Part 1 – Outdoor footballs; notified in G/TBT/N/BDI/313, G/TBT/N/KEN/1362, G/TBT/N/RWA/754, G/TBT/N/TZA/877 and G/TBT/N/UGA/1724 was adopted by the East African Community Council of Ministers on 14 June 2024. A copy of the document can be obtained via the following link at a basic fee; https://webstore.kebs.org</t>
  </si>
  <si>
    <t>Footwear (ICS code(s): 61.060)</t>
  </si>
  <si>
    <t>64 - FOOTWEAR, GAITERS AND THE LIKE; PARTS OF SUCH ARTICLES; 64 - FOOTWEAR, GAITERS AND THE LIKE; PARTS OF SUCH ARTICLES</t>
  </si>
  <si>
    <t>Consumer information, labelling (TBT); Consumer information, labelling (TBT); Prevention of deceptive practices and consumer protection (TBT); Prevention of deceptive practices and consumer protection (TBT); Quality requirements (TBT); Quality requirements (TBT); Harmonization (TBT); Harmonization (TBT); Reducing trade barriers and facilitating trade (TBT); Reducing trade barriers and facilitating trade (TBT); Cost saving and productivity enhancement (TBT); Cost saving and productivity enhancement (TBT)</t>
  </si>
  <si>
    <t>DEAS 1111: 2022 Footwear – Canvas shoes — Specification</t>
  </si>
  <si>
    <t>Burundi, Kenya, Rwanda, Tanzania and Uganda would like to inform WTO Members that the Draft East African Standard; DEAS 1111: 2022 Footwear – Canvas shoes — Specification ; notified in G/TBT/N/BDI/295, G/TBT/N/KEN/1330, G/TBT/N/RWA/737, G/TBT/N/TZA/855 and G/TBT/N/UGA/1704 was adopted by the East African Community Council of Ministers on 14 June 2024. A copy of the document can be obtained via the following link at a basic fee; https://webstore.kebs.org</t>
  </si>
  <si>
    <t>DEAS 853-1: 2023 Auto-refinishing paint — Specification – Part 1: Synthetic resin based</t>
  </si>
  <si>
    <t>Burundi, Kenya, Rwanda, Tanzania and Uganda would like to inform WTO Members that the Draft East African Standard; DEAS 853-1: 2023 Auto-refinishing paint — Specification – Part 1: Synthetic resin based; notified in G/TBT/N/BDI/434, G/TBT/N/KEN/1539, G/TBT/N/RWA/969, G/TBT/N/TZA/1070 and G/TBT/N/UGA/1884 was adopted by the East African Community Council of Ministers on 14 June 2024. A copy of the document can be obtained via the following link at a basic fee; https://webstore.kebs.org</t>
  </si>
  <si>
    <t>Paints and varnishes (ICS code(s): 87.040)</t>
  </si>
  <si>
    <t>This draft Commission Implementing Regulation provides that the approval of the active substance metribuzin is not renewed in accordance with Regulation (EC) No 1107/2009. EU Member States shall withdraw authorisations for plant protection products containing metribuzin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will likely be taken on MRLs and a separate notification will be made in accordance with SPS procedures.</t>
  </si>
  <si>
    <t>65.100 - Pesticides and other agrochemicals; 71.100 - Products of the chemical industry</t>
  </si>
  <si>
    <d:r xmlns:d="http://schemas.openxmlformats.org/spreadsheetml/2006/main">
      <d:rPr>
        <d:sz val="11"/>
        <d:rFont val="Calibri"/>
      </d:rPr>
      <d:t xml:space="preserve">https://members.wto.org/crnattachments/2024/TBT/EEC/24_04833_00_e.pdf</d:t>
    </d:r>
  </si>
  <si>
    <t>Approval report, Application A1257 Australian native bee honey; Supporting Document 1 Risk and technical assessment Application A1257 – Australian native bee honey.</t>
  </si>
  <si>
    <t>FSANZ has assessed an application to amend the Australia New Zealand Food Standards Code to accept honey produced by stingless bee species native to Australia as a standardised food. FSANZ has approved a new standard (Standard 2.8.3 –  Native bee honey) which sets out compositional and labelling requirements for honey produced by bees native to Australia from the genera Tetragonula and Austroplebeia, which are not known as ‘honeybees’. A food that is sold as native bee honey produced by stingless bees native to Australia will have to meet the definition of native bee honey and meet the compositional requirements of the standard. However, there is no requirement for native bee honey to be a product of Australia.</t>
  </si>
  <si>
    <t>040900 - Natural honey</t>
  </si>
  <si>
    <d:r xmlns:d="http://schemas.openxmlformats.org/spreadsheetml/2006/main">
      <d:rPr>
        <d:sz val="11"/>
        <d:rFont val="Calibri"/>
      </d:rPr>
      <d:t xml:space="preserve">https://www.foodstandards.gov.au/food-standards-code/applications/A1257-Australian-native-bee-honey
</d:t>
    </d:r>
  </si>
  <si>
    <t>Economic Commission Collegium Draft Decision on amendments to the Section 14 of the Chapter II of the Common sanitary-epidemiological and hygienic requirements for products subject to sanitary-epidemiological supervision (control)</t>
  </si>
  <si>
    <t>Protection equipment</t>
  </si>
  <si>
    <t>13.340.99 - Other protective equipment</t>
  </si>
  <si>
    <t>Draft Notification of the Alcoholic Beverages Control, Re: Rules, Procedure and condition on Packaging including warning messages of Alcoholic Beverages produced or imported, B.E. …… .</t>
  </si>
  <si>
    <t>According to the Draft Notification of the Alcoholic Beverages Control, Re: Rules, Procedure and condition, on Packaging including warning statement of Alcoholic Beverages produced or imported, issued under B.E. ……, it is specified as follows:1. Definition of         “Packaging” means containers or packages, which are used to contain alcoholic beverages.        “Container” means bottles, cans, jars, or containers in any other forms, which are used to contain alcoholic beverages.        “Packaging” means material used to contain alcoholic beverage containers, whether by filling, covering or by any other methods.2. Packaging that is containers produced or imported for sale in the Kingdom shall have the net contained volume of no less than 0.175 liters per container; 3. Displaying warning messages on labels of alcoholic beverages to be exempt from having to comply with the announcement of the Ministry of Public Health: regarding the labelling of food in containers.4. Labels on alcoholic beverage containers are required to display the following warning messages.       4.1 Sale of Liquor to whom at age less than the completion 20 years of age is prohibited;       4.2 Drinking liquor will decrease ability in vehicle driving;        4.3 Person whose age less than the completion 20 years should not drink       Message according to paragraph one to be printed in Thai by using solid line letters with a height of not less than 5 millimetres, placed in a frame that is separated from other text. The colour of the frame and text contrasts with the background colour of the label. Until it can be read clearly.         The provisions of paragraph one do not apply to alcoholic beverages imported into the Kingdom as samples or not for trade or is it an alcoholic beverage of a person who has received privileges according to Thailand’s obligations to the United Nations or according to international law or according to contract or agreement with foreign countries or diplomatic or alcoholic beverages produced or imported for export.5. This notification shall come into force as from the day following date of its publication in the Government Gazette.</t>
  </si>
  <si>
    <t>Alcohol Beverages (ICS:  67.160.10) (HS 2203, 2204, 2205, 2206, 2207, 2208).</t>
  </si>
  <si>
    <t>2208 - Undenatured ethyl alcohol of an alcoholic strength of &lt; 80%; spirits, liqueurs and other spirituous beverages (excl. compound alcoholic preparations of a kind used for the manufacture of beverages); 2207 - Undenatured ethyl alcohol of an alcoholic strength of &gt;= 80%; ethyl alcohol and other spirits, denatured, of any strength; 2206 - Other fermented beverages (for example, cider, perry, mead, saké); mixtures of fermented beverages and mixtures of fermented beverages and non-alcoholic beverages, not elsewhere specified or included.; 2205 - Vermouth and other wine of fresh grapes, flavoured with plants or aromatic substances; 2204 - Wine of fresh grapes, incl. fortified wines; grape must, partly fermented and of an actual alcoholic strength of &gt; 0,5% vol or grape must with added alcohol of an actual alcoholic strength of &gt; 0,5% vol; 2203 - Beer made from malt.</t>
  </si>
  <si>
    <d:r xmlns:d="http://schemas.openxmlformats.org/spreadsheetml/2006/main">
      <d:rPr>
        <d:sz val="11"/>
        <d:rFont val="Calibri"/>
      </d:rPr>
      <d:t xml:space="preserve">https://members.wto.org/crnattachments/2024/TBT/THA/24_04838_00_e.pdf
https://members.wto.org/crnattachments/2024/TBT/THA/24_04838_00_x.pdf</d:t>
    </d:r>
  </si>
  <si>
    <t>Emergency Response Standard</t>
  </si>
  <si>
    <t xml:space="preserve">The Occupational Safety and Health Administration (OSHA) is scheduling an informal public hearing on its proposed rule “Emergency Response Standard.” The public hearing will begin 12 November 2024, at 9:30 a.m.Eastern Time (ET). The proposed rule was published in the Federal Register on 5 February 2024 (notified as G/TBT/N/USA/2098). The initial public comment period was scheduled to end 6 May 2024, but was extended to 21 June 2024 (notified as G/TBT/N/USA/2098/Add.1), in response to numerous requests from the public. The comment period was extended again, until 22 July 2024 (notified as G/TBT/N/USA/2098/Add.2), due to more extension requests from stakeholders.Informal public hearing: The hearing will be held virtually and will begin 12 November 2024, at 9:30 a.m.Eastern Time (ET). If necessary, the hearing will continue from 9:30 a.m. until 4:30 p.m.Eastern Time (ET), on subsequent weekdays. Additional information on how to access the informal hearing will be posted at https://www.osha.gov/emergencyresponse/rulemaking. To testify or question other witnesses at the hearing, interested persons must electronically submit a Notice of Intention to Appear (NOITA) on or before 27 September 2024. In addition, those who request more than 10 minutes for their presentation at the informal hearing and those who intend to submit documentary evidence at the hearing must submit the full text of their testimony, as well as a copy of any documentary evidence, no later than 18 October 2024.89 Federal Register (FR) 59712, Title 29 Code of Federal Regulations (CFR) Part 1910_x000D_
https://www.govinfo.gov/content/pkg/FR-2024-07-23/html/2024-16126.htm_x000D_
https://www.govinfo.gov/content/pkg/FR-2024-07-23/pdf/2024-16126.pdf_x000D_
This notice of an informal hearing and previous actions notified under the symbol G/TBT/N/USA/2098 are identified by Docket Number OSHA-2007-0073. The Docket Folder is available on Regulations.gov at https://www.regulations.gov/docket/OSHA-2007-0073/document and provides access to primary and supporting documents as well as comments received. Documents are also accessible from Regulations.gov by searching the Docket Number. WTO Members and their stakeholders who wish to testify or question other witnesses at the 12 November hearing are asked to also share this information with the USA TBT Enquiry Point by or before 4pmEastern Time on 27 September 2024, in addition to electronically submitting a NOITA to OSHA. Likewise, WTO Members and their stakeholders who need more than 10 minutes for their presentation at the informal hearing and/or who intend to submit documentary evidence at the hearing are asked to also share the full text of their testimony, as well as a copy of any documentary evidence, by 4pmEastern Time on or before 18 October 2024 with the USA TBT Enquiry Point. This information will also be shared with OSHA.</t>
  </si>
  <si>
    <t>Emergency response; Occupational safety. Industrial hygiene (ICS code(s): 13.100); Accident and disaster control (ICS code(s): 13.200); Protection against fire (ICS code(s): 13.220); Protective clothing (ICS code(s): 13.340.10); Protection against falling and slipping (ICS code(s): 13.340.60)</t>
  </si>
  <si>
    <t>13.100 - Occupational safety. Industrial hygiene; 13.200 - Accident and disaster control; 13.220 - Protection against fire; 13.340.10 - Protective clothing; 13.340.60 - Protection against falling and slipping; 13.100 - Occupational safety. Industrial hygiene; 13.200 - Accident and disaster control; 13.220 - Protection against fire; 13.340.10 - Protective clothing; 13.340.60 - Protection against falling and slipping</t>
  </si>
  <si>
    <d:r xmlns:d="http://schemas.openxmlformats.org/spreadsheetml/2006/main">
      <d:rPr>
        <d:sz val="11"/>
        <d:rFont val="Calibri"/>
      </d:rPr>
      <d:t xml:space="preserve">https://members.wto.org/crnattachments/2024/TBT/USA/24_04819_00_e.pdf</d:t>
    </d:r>
  </si>
  <si>
    <t>DEAS 1114:2022, Insecticidal aerosol — Specification, First Edition</t>
  </si>
  <si>
    <t>Burundi, Kenya, Rwanda, Tanzania and Uganda would like to inform WTO Members that the Draft East African Standard; DEAS 1114:2022, Insecticidal aerosol — Specification, First Edition; notified in G/TBT/N/BDI/294, G/TBT/N/KEN/1329, G/TBT/N/RWA/736, G/TBT/N/TZA/852 and G/TBT/N/UGA/1703 was adopted by the East African Community Council of Ministers on 14 June 2024. A copy of the document can be obtained via the following link at a basic fee; https://webstore.kebs.org</t>
  </si>
  <si>
    <t>- - Insecticides (HS code(s): 380891); Insecticides (ICS code(s): 65.100.10)</t>
  </si>
  <si>
    <t>380891 - Insecticides, put up in forms or packings for retail sale or as preparations or articles (excl. goods of subheadings 3808.52 to 3808.69); 380891 - Insecticides, put up in forms or packings for retail sale or as preparations or articles (excl. goods of subheadings 3808.52 to 3808.69)</t>
  </si>
  <si>
    <t>65.100.10 - Insecticides; 65.100.10 - Insecticides</t>
  </si>
  <si>
    <t>1. Customs (Prohibition of Imports) (Amendment) (No. X) Order 2021 (7 pages in Malay and English) 2. Guidelines for Importation and Inspection of Waste Paper, December 2021, Edition No: 1 (33 pages in English) 3. Guidelines for Importation and Inspection of Metal Scrap, December 2021, Edition No: 1 (35 pages in English)</t>
  </si>
  <si>
    <t xml:space="preserve">The addendum is for notifying members on the addition of new HS Codes for metal scrap and updating the latest version for Customs (Prohibition of Imports) Orders and the Guideline for Importation and Inspection of Metal Scrap.With the addition of the above HS codes, the notification title (1) and (3) are updated and published as below titlesCustoms (Prohibition of Imports) Order 2023 [P.U. (A) 117/2023] (290 pages in Malay and English)Customs (Prohibition of Imports) (Amendment) Order 2024 [P.U. (A) 69/2024] (5 pages in Malay and English)Guidelines for Importation and Inspection of Metal Scrap, April 2024, Edition No. 2 (37 pages in English)_x000D_
</t>
  </si>
  <si>
    <t>i. Recovered (waste and scrap) paper and paperboard: HS Code 4707.10: Unbleached kraft paper or paperboard or corrugated paper or paperboard HS Code 4707.20: Other paper or paperboard made mainly of bleached chemical pulp, not coloured in the mass HS Code 4707.30: Paper or paperboard made mainly of mechanical pulp (for example, newspapers, journals and similar printed matter) ii. Waste and scrap metal: HS Code 7204: Ferrous waste and scrap; re-melting scrap ingots of iron or steel HS Code 7404: Copper waste and scrap HS Code 7602: Aluminium waste or scrap</t>
  </si>
  <si>
    <t>470710 - Recovered "waste and scrap" paper or paperboard of unbleached kraft paper, corrugated paper or corrugated paperboard; 470720 - Recovered "waste and scrap" paper or paperboard made mainly of bleached chemical pulp, not coloured in the mass; 470730 - Recovered "waste and scrap" paper or paperboard made mainly of mechanical pulp, e.g. newspapers, journals and similar printed matter; 7204 - Ferrous waste and scrap; remelting scrap ingots of iron or steel (excl. slag, scale and other waste from the production of iron or steel; radioactive waste and scrap; fragments of pigs, blocks or other primary forms of pig iron or spiegeleisen); 7404 - Waste and scrap, of copper (excl. ingots or other similar unwrought shapes, of remelted copper waste and scrap, ashes and residues containing copper, and waste and scrap of primary cells, primary batteries and electric accumulators); 7602 - Waste and scrap, of aluminium (excl. slags, scale and the like from iron and steel production, containing recoverable aluminium in the form of silicates, ingots or other similar unwrought shapes, of remelted waste and scrap, of aluminium, ashes and residues from aluminium production); 7503 - Nickel waste and scrap.; 811252 - Thallium waste and scrap (excl. ashes and residues containing thallium); 811241 - Unwrought rhenium and rhenium waste, scrap and powders (excl. ashes and residues); 811231 - Unwrought hafnium and hafnium waste, scrap and powders (excl. ashes and residues); 811222 - Chromium waste and scrap (excl. ash and residues containing chromium and chromium alloys containing &gt; 10% by weight of nickel); 811213 - Beryllium waste and scrap (excl. ashes and residues containing beryllium); 8111 - Manganese and articles thereof, including waste and scrap.; 811020 - Antimony waste and scrap (excl. ash and residues containing antimony); 810939 - Zirconium waste and scrap, containing =&gt; 1 part hafnium to 500 parts zirconium by weight (excl. ash and residues containing zirconium); 810931 - Zirconium waste and scrap, containing &lt; 1 part hafnium to 500 parts zirconium by weight (excl. ash and residues containing zirconium); 811261 - Cadmium waste and scrap (excl. ashes and residues); 810830 - Titanium waste and scrap (excl. ash and residues containing titanium); 810610 - Bismuth and articles thereof incl. waste and scrap, containing &gt; 99,99 % of bismuth by weight, n.e.s.; 810530 - Cobalt waste and scrap (excl. ash and residues containing cobalt); 810420 - Magnesium waste and scrap (excl. ash and residues containing magnesium, and raspings, turnings and granules graded according to size); 810330 - Tantalum waste and scrap (excl. ash and residues containing tantalum); 810297 - Molybdenum waste and scrap (excl. ash and residues containing molybdenum); 810197 - Tungsten waste and scrap (excl. ash and residues containing tungsten); 8002 - Tin waste and scrap.; 7902 - Zinc waste and scrap.; 7802 - Lead waste and scrap.; 810690 - Bismuth and articles thereof incl. waste and scrap, containing &lt;= 99,99 % of bismuth by weight, n.e.s. (excl. ash and residues containing bismuth); 811292 - Unwrought niobium "columbium", gallium, indium, vanadium and germanium; powders and waste and scrap of these metals (excl. ash and residues); 7404 - Waste and scrap, of copper (excl. ingots or other similar unwrought shapes, of remelted copper waste and scrap, ashes and residues containing copper, and waste and scrap of primary cells, primary batteries and electric accumulators); 7802 - Lead waste and scrap.; 7503 - Nickel waste and scrap.; 8002 - Tin waste and scrap.; 810197 - Tungsten waste and scrap (excl. ash and residues containing tungsten); 810297 - Molybdenum waste and scrap (excl. ash and residues containing molybdenum); 810330 - Tantalum waste and scrap (excl. ash and residues containing tantalum); 810420 - Magnesium waste and scrap (excl. ash and residues containing magnesium, and raspings, turnings and granules graded according to size); 810530 - Cobalt waste and scrap (excl. ash and residues containing cobalt); 810610 - Bismuth and articles thereof incl. waste and scrap, containing &gt; 99,99 % of bismuth by weight, n.e.s.; 810830 - Titanium waste and scrap (excl. ash and residues containing titanium); 811261 - Cadmium waste and scrap (excl. ashes and residues); 810931 - Zirconium waste and scrap, containing &lt; 1 part hafnium to 500 parts zirconium by weight (excl. ash and residues containing zirconium); 810690 - Bismuth and articles thereof incl. waste and scrap, containing &lt;= 99,99 % of bismuth by weight, n.e.s. (excl. ash and residues containing bismuth); 810939 - Zirconium waste and scrap, containing =&gt; 1 part hafnium to 500 parts zirconium by weight (excl. ash and residues containing zirconium); 8111 - Manganese and articles thereof, including waste and scrap.; 811213 - Beryllium waste and scrap (excl. ashes and residues containing beryllium); 811222 - Chromium waste and scrap (excl. ash and residues containing chromium and chromium alloys containing &gt; 10% by weight of nickel); 811231 - Unwrought hafnium and hafnium waste, scrap and powders (excl. ashes and residues); 811241 - Unwrought rhenium and rhenium waste, scrap and powders (excl. ashes and residues); 811252 - Thallium waste and scrap (excl. ashes and residues containing thallium); 7902 - Zinc waste and scrap.; 470730 - Recovered "waste and scrap" paper or paperboard made mainly of mechanical pulp, e.g. newspapers, journals and similar printed matter; 470710 - Recovered "waste and scrap" paper or paperboard of unbleached kraft paper, corrugated paper or corrugated paperboard; 7204 - Ferrous waste and scrap; remelting scrap ingots of iron or steel (excl. slag, scale and other waste from the production of iron or steel; radioactive waste and scrap; fragments of pigs, blocks or other primary forms of pig iron or spiegeleisen); 7602 - Waste and scrap, of aluminium (excl. slags, scale and the like from iron and steel production, containing recoverable aluminium in the form of silicates, ingots or other similar unwrought shapes, of remelted waste and scrap, of aluminium, ashes and residues from aluminium production); 470720 - Recovered "waste and scrap" paper or paperboard made mainly of bleached chemical pulp, not coloured in the mass; 811020 - Antimony waste and scrap (excl. ash and residues containing antimony); 811292 - Unwrought niobium "columbium", gallium, indium, vanadium and germanium; powders and waste and scrap of these metals (excl. ash and residues)</t>
  </si>
  <si>
    <t>13.030 - Wastes; 13.030 - Wastes; 77 - METALLURGY; 77 - METALLURGY; 85.060 - Paper and board; 85.060 - Paper and board</t>
  </si>
  <si>
    <d:r xmlns:d="http://schemas.openxmlformats.org/spreadsheetml/2006/main">
      <d:rPr>
        <d:sz val="11"/>
        <d:rFont val="Calibri"/>
      </d:rPr>
      <d:t xml:space="preserve">1._x0009_Customs (Prohibition of Imports) Order 2023 [P.U. (A) 117/2023] (290 pages in Malay and English).
Available at: https://shorturl.at/JVcdt
2._x0009_Customs (Prohibition of Imports) (Amendment) Order 2024 [P.U. (A) 69/2024]  (5 pages in Malay and English).
Available at: https://shorturl.at/WJ0cP
3._x0009_Guidelines for Importation and Inspection of Metal Scrap
 April 2024
 Edition No. 2 (37 pages in English).
Available at: https://www.sirim-qas.com.my/wp-content/uploads/2024/05/For-website-Second-Edition-2-Guidelines-for-Importation-and-Inspection-of-Metal-Scrap-.pdf
</d:t>
    </d:r>
  </si>
  <si>
    <t>DEAS 854: 2023 Thinner for nitrocellulose resin-based paint and lacquers  –  Specification</t>
  </si>
  <si>
    <t>Burundi, Kenya, Rwanda, Tanzania and Uganda would like to inform WTO Members that the Draft East African Standard; DEAS 854: 2023 Thinner for nitrocellulose resin-based paint and lacquers  –  Specification; notified in G/TBT/N/BDI/328, G/TBT/N/KEN/1390, G/TBT/N/RWA/835, G/TBT/N/TZA/914 and G/TBT/N/UGA/1743 was adopted by the East African Community Council of Ministers on 14 June 2024. A copy of the document can be obtained via the following link at a basic fee; https://webstore.kebs.org</t>
  </si>
  <si>
    <t>DEAS 1145: 2023 Automotive manual transmission gear oils Extreme Pressure (EP) — Specification </t>
  </si>
  <si>
    <t>Burundi, Kenya, Rwanda, Tanzania and Uganda would like to inform WTO Members that the Draft East African Standard; DEAS 1145: 2023 Automotive manual transmission gear oils Extreme Pressure (EP) — Specification ; notified in G/TBT/N/BDI/357, G/TBT/N/KEN/1437, G/TBT/N/RWA/868, G/TBT/N/TZA/971 and G/TBT/N/UGA/1773 was adopted by the East African Community Council of Ministers on 14 June 2024. A copy of the document can be obtained via the following link at a basic fee; https://webstore.kebs.org</t>
  </si>
  <si>
    <t>Liquid fuels (ICS code(s): 75.160.20)</t>
  </si>
  <si>
    <t>DEAS 1146: 2023 Lubricating grease — Specification</t>
  </si>
  <si>
    <t>Burundi, Kenya, Rwanda, Tanzania and Uganda would like to inform WTO Members that the Draft East African Standard; DEAS 1146: 2023 Lubricating grease — Specification; notified in G/TBT/N/BDI/358, G/TBT/N/KEN/1438, G/TBT/N/RWA/869, G/TBT/N/TZA/972 and G/TBT/N/UGA/1774 was adopted by the East African Community Council of Ministers on 14 June 2024. A copy of the document can be obtained via the following link at a basic fee; https://webstore.kebs.org</t>
  </si>
  <si>
    <t>3403 - 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 3403 - 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t>
  </si>
  <si>
    <t>75.100 - Lubricants, industrial oils and related products; 75.100 - Lubricants, industrial oils and related products; 75.160.20 - Liquid fuels; 75.160.20 - Liquid fuels</t>
  </si>
  <si>
    <t>DEAS 887:2023 Crude and semi refined palm oil — Specification</t>
  </si>
  <si>
    <t>Burundi, Kenya, Rwanda, Tanzania and Uganda would like to inform WTO Members that the Draft East African Standard; DEAS 887:2023, Crude and semi refined palm oil — Specification; notified in G/TBT/N/BDI/406, G/TBT/N/KEN/1501, G/TBT/N/RWA/930, G/TBT/N/TZA/1034 and G/TBT/N/UGA/1841 was adopted by the East African Community Council of Ministers on 14 June 2024.A copy of the document can be obtained via the following link at a basic fee; https://webstore.kebs.org</t>
  </si>
  <si>
    <t>Palm oil and its fractions, whether or not refined (excl. chemically modified) (HS code(s): 1511); Animal and vegetable fats and oils (ICS code(s): 67.200.10)</t>
  </si>
  <si>
    <t>1511 - Palm oil and its fractions, whether or not refined (excl. chemically modified); 1511 - Palm oil and its fractions, whether or not refined (excl. chemically modified)</t>
  </si>
  <si>
    <t>SI 60968 - Self-ballasted fluorescent lamps for general lighting services - Safety requirements</t>
  </si>
  <si>
    <t>First Amendment to the Mandatory Standard SI 60968, dealing with self-ballasted fluorescent lamps. This amendment deletes the following sections dealing with energy consumption due to the annulation of Israel's Energy Source Regulations:Deletes a few of the normative references included in Section 2;Deletes the national Section 5.2.202 dealing with energy efficiency label;Deletes Annex C dealing with the calculation of the energy efficiency.</t>
  </si>
  <si>
    <t>Self-ballasted fluorescent lamps</t>
  </si>
  <si>
    <t>853931 - Discharge lamps, fluorescent, hot cathode; 94054 - - Other electric luminaires and lighting fittings :</t>
  </si>
  <si>
    <t>29.140.30 - Fluorescent lamps. Discharge lamps</t>
  </si>
  <si>
    <d:r xmlns:d="http://schemas.openxmlformats.org/spreadsheetml/2006/main">
      <d:rPr>
        <d:sz val="11"/>
        <d:rFont val="Calibri"/>
      </d:rPr>
      <d:t xml:space="preserve">https://members.wto.org/crnattachments/2024/TBT/ISR/24_04836_00_x.pdf</d:t>
    </d:r>
  </si>
  <si>
    <t>Energy Conservation Program: Energy Conservation Standards for Consumer Water Heaters</t>
  </si>
  <si>
    <t xml:space="preserve">On 28 July 2023, the U.S. Department of Energy ("DOE") published a notice of proposed rulemaking ("NOPR"), in which DOE proposed amended energy conservation standards for consumer water heaters ("July 2023 NOPR" notified as G/TBT/N/USA/508/Rev.1). In this notification of data availability ("NODA"), DOE is updating portions of its analysis for gas instantaneous water heaters. DOE requests comments, data, and information regarding the updated analysis.DOE will accept comments, data, and information regarding this NODA no later than 22 August 2024.89 Federal Register (FR) 59692, Title 10 Code of Federal Regulations (CFR) Part 430_x000D_
https://www.govinfo.gov/content/pkg/FR-2024-07-23/html/2024-16177.htm_x000D_
https://www.govinfo.gov/content/pkg/FR-2024-07-23/pdf/2024-16177.pdf_x000D_
This notification of data availability; request for comment and previous actions notified under the symbol G/TBT/N/USA/508/Rev.1 are identified by Docket Number EERE-2017-BT-STD-0019. The Docket Folder is available from Regulations.gov at https://www.regulations.gov/docket/EERE-2017-BT-STD-0019/document and provides access to primary and supporting documents as well as comments received. Documents are also accessible from Regulations.gov by searching the Docket Number. WTO Members and their stakeholders are asked to submit comments to the USA TBT Enquiry Point by or before 4pmEastern Time on 22 August 2024. Comments received by the USA TBT Enquiry Point from WTO Members and their stakeholders will be shared with DOE and will also be submitted to the Docket if received within the comment period.</t>
  </si>
  <si>
    <t>Consumer water heaters; Environmental protection (ICS code(s): 13.020); Domestic, commercial and industrial heating appliances (ICS code(s): 97.100)</t>
  </si>
  <si>
    <t>13.020 - Environmental protection; 97.100 - Domestic, commercial and industrial heating appliances; 13.020 - Environmental protection; 97.100 - Domestic, commercial and industrial heating appliances</t>
  </si>
  <si>
    <t>Consumer information, labelling (TBT); Protection of the environment (TBT)</t>
  </si>
  <si>
    <d:r xmlns:d="http://schemas.openxmlformats.org/spreadsheetml/2006/main">
      <d:rPr>
        <d:sz val="11"/>
        <d:rFont val="Calibri"/>
      </d:rPr>
      <d:t xml:space="preserve">https://members.wto.org/crnattachments/2024/TBT/USA/modification/24_04818_00_e.pdf</d:t>
    </d:r>
  </si>
  <si>
    <t>RESOLUCIÓN DIRECTORAL No D000022-2024-MIDAGRI-SENASA-DSA (Directorial Resolution No. D000022-2024-MIDAGRI-SENASA-DSA)</t>
  </si>
  <si>
    <t>The notified Directorial Resolution amends the title of Annex II.c, which is part of Article 1(b) of Directorial Resolution No. 0009-2012-AG-SENASA-DSA, and of the version published on the institutional website of the National Agrarian Health Service.</t>
  </si>
  <si>
    <t>Chilled or frozen edible offal (tongues, hearts, stomachs, livers, kidneys and feet) of bovine animals</t>
  </si>
  <si>
    <t>020629 - Frozen edible bovine offal (excl. tongues and livers); 020622 - Frozen edible bovine livers; 020621 - Frozen edible bovine tongues; 020610 - Fresh or chilled edible offal of bovine animals; 0202 - Meat of bovine animals, frozen; 0201 - Meat of bovine animals, fresh or chilled</t>
  </si>
  <si>
    <d:r xmlns:d="http://schemas.openxmlformats.org/spreadsheetml/2006/main">
      <d:rPr>
        <d:sz val="11"/>
        <d:rFont val="Calibri"/>
      </d:rPr>
      <d:t xml:space="preserve">https://members.wto.org/crnattachments/2024/SPS/PER/24_04712_00_s.pdf
https://members.wto.org/crnattachments/2024/SPS/PER/24_04712_01_s.pdf</d:t>
    </d:r>
  </si>
  <si>
    <t>Letter by the Federal Service for Veterinary and Phytosanitary Surveillance No. FS-ARe-7/6028-3 of 17 July 2024</t>
  </si>
  <si>
    <t>The Federal Service for Veterinary and Phytosanitary Surveillance (Rosselkhoznadzor) introduced a temporary restriction on import and transportation through the territory of the Russian Federation of live sheep and goats; products produced from meat of sheep and goats from Greece due to the outbreak of ovine rinderpest.</t>
  </si>
  <si>
    <t>0104 - Live sheep and goats; 1602 - Prepared or preserved meat, meat offal, blood or insects (excl. sausages and similar products, and meat extracts and juices); 1601 - Sausages and similar products, of meat, meat offal, blood or insects; food preparations based on these products.; 1518 - Animal, vegetable or microbial fats and oils and their fractions, boiled, oxidised, dehydrated, sulphurised, blown, polymerised by heat in vacuum or in inert gas or otherwise chemically modified, excluding those of heading 15.16; inedible mixtures or preparations of animal, vegetable or microbial fats or oils or of fractions of different fats or oils of this Chapter, not elsewhere specified or included.; 151610 - Animal fats and oils and their fractions, partly or wholly hydrogenated, inter-esterified, re-esterified or elaidinised, whether or not refined, but not further prepared; 1506 - Other animal fats and oils and their fractions, whether or not refined, but not chemically modified.; 1505 - Wool grease and fatty substances derived therefrom (including lanolin).; 1503 - Lard stearin, lard oil, oleostearin, oleo-oil and tallow oil, not emulsified or mixed or otherwise prepared.; 1502 - Fats of bovine animals, sheep or goats (excl. oil and oleostearin); 0507 - Ivory, tortoiseshell, whalebone and whalebone hair, horns, antlers, hooves, nails, claws and beaks, unworked or simply prepared; powder and waste of these products (excl. cut to shape); 1603 - Extracts and juices of meat, fish or crustaceans, molluscs or other aquatic invertebrates.; 0506 - Bones and horn-cores and their powder and waste, unworked, defatted, simply prepared, treated with acid or degelatinised (excl. cut to shape); 0405 - Butter, incl. dehydrated butter and ghee, and other fats and oils derived from milk; dairy spreads; 0404 - Whey, whether or not concentrated or containing added sugar or other sweetening matter; products consisting of natural milk constituents, whether or not containing added sugar or other sweetening matter, n.e.s.; 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0402 - Milk and cream, concentrated or containing added sugar or other sweetening matter; 0401 - Milk and cream, not concentrated nor containing added sugar or other sweetening matter; 0210 - Meat and edible offal, salted, in brine, dried or smoked; edible flours and meals of meat or meat offal; 0206 - Edible offal of bovine animals, swine, sheep, goats, horses, asses, mules or hinnies, fresh, chilled or frozen; 0204 - Meat of sheep or goats, fresh, chilled or frozen; 0106 - Live animals (excl. horses, asses, mules, hinnies, bovine animals, swine, sheep, goats, poultry, fish, crustaceans, molluscs and other aquatic invertebrates, and microorganic cultures etc.); 0406 - Cheese and curd; 190220 - Pasta, stuffed with meat or other substances, whether or not cooked or otherwise prepared; 051199 - Products of animal origin, n.e.s., dead animals, unfit for human consumption (excl. fish, crustaceans, molluscs or other aquatic invertebrates)</t>
  </si>
  <si>
    <t>Animal health; Animal diseases; Pest- or Disease- free Regions / Regionalization</t>
  </si>
  <si>
    <t>Greece</t>
  </si>
  <si>
    <d:r xmlns:d="http://schemas.openxmlformats.org/spreadsheetml/2006/main">
      <d:rPr>
        <d:sz val="11"/>
        <d:rFont val="Calibri"/>
      </d:rPr>
      <d:t xml:space="preserve">https://members.wto.org/crnattachments/2024/SPS/RUS/24_04830_00_x.pdf
https://fsvps.gov.ru/files/ukazanie-rosselhoznadzora-ot-17-ijulja-2024-goda-fs-arje-7-6028-3/</d:t>
    </d:r>
  </si>
  <si>
    <t>Consumer information, labelling (TBT); Prevention of deceptive practices and consumer protection (TBT); Quality requirements (TBT); Harmonization (TBT); Reducing trade barriers and facilitating trade (TBT); Cost saving and productivity enhancement (TBT)</t>
  </si>
  <si>
    <t>DEAS 1113: 2022 Footwear – Sports Shoes — Specification</t>
  </si>
  <si>
    <t>Burundi, Kenya, Rwanda, Tanzania and Uganda would like to inform WTO Members that the Draft East African Standard; DEAS 1113: 2022 Footwear – Sports Shoes — Specification; notified in G/TBT/N/BDI/299, G/TBT/N/KEN/1334, G/TBT/N/RWA/741, G/TBT/N/TZA/859 and G/TBT/N/UGA/1708 was adopted by the East African Community Council of Ministers on 14 June 2024. A copy of the document can be obtained via the following link at a basic fee; https://webstore.kebs.org</t>
  </si>
  <si>
    <t>DEAS 1168:2023 Edible coconut oil − Specification</t>
  </si>
  <si>
    <t xml:space="preserve">Burundi, Kenya, Rwanda, Tanzania and Uganda would like to inform WTO Members that the Draft East African Standard; DEAS 1168:2023 Edible coconut oil − Specification; notified in G/TBT/N/BDI/405, G/TBT/N/KEN/1500, G/TBT/N/RWA/929, G/TBT/N/TZA/1033 and G/TBT/N/UGA/1840 was adopted by the East African Community Council of Ministers on 14 June 2024. A copy of the document can be obtained via the following link at a basic fee; https://webstore.kebs.org_x000D_
</t>
  </si>
  <si>
    <t>Coconut "copra", palm kernel or babassu oil and fractions thereof, whether or not refined, but not chemically modified (HS code(s): 1513); Animal and vegetable fats and oils (ICS code(s): 67.200.10)</t>
  </si>
  <si>
    <t>1513 - Coconut "copra", palm kernel or babassu oil and fractions thereof, whether or not refined, but not chemically modified; 1513 - Coconut "copra", palm kernel or babassu oil and fractions thereof, whether or not refined, but not chemically modified</t>
  </si>
  <si>
    <t>Import Presented Refused and Import Refusal Reason datasets</t>
  </si>
  <si>
    <t>The US Department of Agriculture, Food Safety and Inspection Service (FSIS) plans to replace the existing Import Refusals and Import Volume datasets currently available on the FSIS website, Import and Export Data page with two new datasets, Import Presented Refused and Import Refusal Reason. The existing Import Refusals dataset is published at the lot-level, including the foreign processing establishment, whereas the existing Import Volume dataset is published at the Country, Species, Process Category, Product Category, and Product Group level. The new Import Presented Refused dataset will include lot-level information for import volume along with import refusal data at the lot-level, making it easier to compare the proportion of weight refused to weight presented. Import Refusal Reason will be provided as a secondary dataset, providing each refusal reason as its own row to facilitate analysis. Datasets will be updated monthly and will be posted the third Friday of each month, with the first release occurring on 27 September 2024, in lieu of the Import Refusals and Import Volume datasets. Data will be broken out by fiscal year (FY), starting with data from FY 2014 (starting on 1 October 2013) through the most recent FY. </t>
  </si>
  <si>
    <t>Meat (including Siluriformes fish and fish products), poultry, and egg products</t>
  </si>
  <si>
    <t>0407 - Birds' eggs, in shell, fresh, preserved or cooked; 0305 - Fish, fit for human consumption, dried, salted or in brine; smoked fish, fit for human consumption, whether or not cooked before or during the smoking process; 0304 - Fish fillets and other fish meat, whether or not minced, fresh, chilled or frozen; 0303 - Frozen fish (excl. fish fillets and other fish meat of heading 0304); 0302 - Fish, fresh or chilled (excl. fish fillets and other fish meat of heading 0304); 0301 - Live fish; 02 - MEAT AND EDIBLE MEAT OFFAL</t>
  </si>
  <si>
    <d:r xmlns:d="http://schemas.openxmlformats.org/spreadsheetml/2006/main">
      <d:rPr>
        <d:sz val="11"/>
        <d:rFont val="Calibri"/>
      </d:rPr>
      <d:t xml:space="preserve">https://members.wto.org/crnattachments/2024/SPS/USA/24_04683_00_e.pdf
https://members.wto.org/crnattachments/2024/SPS/USA/24_04683_01_e.pdf
https://members.wto.org/crnattachments/2024/SPS/USA/24_04683_02_e.pdf
https://members.wto.org/crnattachments/2024/SPS/USA/24_04683_03_e.pdf
https://www.regulations.gov/docket/FSIS-2014-0032/</d:t>
    </d:r>
  </si>
  <si>
    <t>Notice of Modification to the List of permitted supplemental ingredients to permit the use of green tea extract (EGCG/catechins) as a supplemental ingredient in foods</t>
  </si>
  <si>
    <t>The Notice of Health Canada's proposal to enable the use of green tea extract (EGCG/catechins) as a supplemental ingredient in foods was published on 28 July 2022, and was open to the public for comment for 75 days. No new scientific information that changes the outcome of the safety assessment was submitted in response to this Notice of Proposal. Since the conclusions of the assessment remain as described in the Notice of Proposal, Health Canada has permitted the supplemental use of green tea extract (EGCG/catechins) by adding the entry shown in the table to Part IV of the List of Permitted Supplemental IngredientsThe above modification came into force 11 January 2024, the day it was published in the List of Permitted Supplemental IngredientsHealth Canada's Food and Nutrition Directorate identified that certain terms and wording used in the green tea extract entry (Part IV: Other supplemental ingredients, G.1) published in the French version of the List of Permitted Supplemental Ingredients on 11 January 2024, are not an accurate translation of the English version and do not align with French terminology in similar entries. One minor editorial error was also identified for the vitamin A (beta-carotene, retinol) entries. Health Canada has promptly addressed the translation inconsistencies in French.Health Canada's Food and Nutrition Directorate is committed to reviewing new scientific information on the safety in use of any permitted supplemental ingredient, including green tea extract (EGCG/catechins). Anyone wishing to submit an inquiry or new scientific information on the use of any permitted supplemental ingredient may do so in writing, by regular mail or electronically.</t>
  </si>
  <si>
    <t>Green tea extract (EGCG/catechins) as a supplemental ingredient</t>
  </si>
  <si>
    <t>Proyecto de Resolución Directoral para el establecimiento de requisitos fitosanitarios de importación de plantas, esquejes enraizados y varas yemeras de cítricos (Citrus spp.) de origen y procedencia Italia (Draft Directorial Resolution establishing phytosanitary requirements for the importation of citrus (Citrus spp.) plants, rooted cuttings and scions originating in and coming from Italy)</t>
  </si>
  <si>
    <t>The notified draft Directorial Resolution establishing phytosanitary requirements for the importation of citrus (Citrus spp.) plants, rooted cuttings and scions originating in and coming from Italy is being submitted for public consultation following the completion of the pest risk analysis.</t>
  </si>
  <si>
    <t>Citrus (Citrus spp.) plants, rooted cuttings and scions (HS code(s): 0602)</t>
  </si>
  <si>
    <t>0602 - Live plants incl. their roots, cuttings and slips; mushroom spawn (excl. bulbs, tubers, tuberous roots, corms, crowns and rhizomes, and chicory plants and roots); 060220 - Edible fruit or nut trees, shrubs and bushes, whether or not grafted</t>
  </si>
  <si>
    <d:r xmlns:d="http://schemas.openxmlformats.org/spreadsheetml/2006/main">
      <d:rPr>
        <d:sz val="11"/>
        <d:rFont val="Calibri"/>
      </d:rPr>
      <d:t xml:space="preserve">https://members.wto.org/crnattachments/2024/SPS/PER/24_04711_00_s.pdf
El texto lo puede descargar de la página web del SENASA
 cuya ruta es la siguiente: http://www.senasa.gob.pe/senasa/consulta-publica/ (disponible en español)</d:t>
    </d:r>
  </si>
  <si>
    <t>SI  61195 - Double-capped fluorescent lamps - Safety  specifications</t>
  </si>
  <si>
    <t xml:space="preserve">First Amendment to the proposed Mandatory Standard SI 61195 dealing with double-capped fluorescent lamps (Notified on 26 May 2020 in G/TBT/N/ISR/1149). This amendment deletes the following sections dealing with energy consumption due to the annulation of Israel's Energy Source Regulations:Deletes a few of the normative references included in Section 1.2;Deletes the national Section 2.2.202 dealing with energy efficiency label;Deletes Annex F, which deals with the calculation of energy efficiency._x000D_
</t>
  </si>
  <si>
    <t>Double-capped fluorescent lamps</t>
  </si>
  <si>
    <t>853931 - Discharge lamps, fluorescent, hot cathode; 853932 - Mercury or sodium vapour lamps; metal halide lamps</t>
  </si>
  <si>
    <d:r xmlns:d="http://schemas.openxmlformats.org/spreadsheetml/2006/main">
      <d:rPr>
        <d:sz val="11"/>
        <d:rFont val="Calibri"/>
      </d:rPr>
      <d:t xml:space="preserve">https://members.wto.org/crnattachments/2024/TBT/ISR/24_04835_00_x.pdf</d:t>
    </d:r>
  </si>
  <si>
    <t>SI 62368 part 1 - Audio/video, information and communication technology equipment: Safety requirements</t>
  </si>
  <si>
    <t>First Amendment to the Proposed Mandatory Standard SI 62368 part 1 (Notified on 1 March 2023 in G/TBT/N/ISR/1245). This amendment deletes the following sections dealing with energy consumption due to the annulation of Israel's Energy Source Regulations:Deletes the Section 2 dealing with the normative references;Deletes the national Section 202 dealing with power consumption.</t>
  </si>
  <si>
    <t>Audio/video, information and communication technology equipment</t>
  </si>
  <si>
    <t>842230 - Machinery for filling, closing, sealing or labelling bottles, cans, boxes, bags or other containers; machinery for capsuling bottles, jars, tubes and similar containers; machinery for aerating beverages; 8437 - Machines for cleaning, sorting or grading seed, grain or dried leguminous vegetables; machinery used in the milling industry or for the working of cereals or dried leguminous vegetables (excl. farm-type machinery, heat treatment equipment, centrifugal dryers and air filters); parts thereof; 8443 - Printing machinery used for printing by means of plates, cylinders and other printing components of heading 8442 (excl. hectograph or stencil duplicating machines, addressing machines and other office printing machines of heading 8469 to 8472); other printers, copying machines and facsimile machines, whether or not combined; parts thereof; 847010 - Electronic calculators capable of operation without an external source of electric power and pocket-size "dimensions &lt;= 170 mm x 100 mm x 45 mm" data recording, reproducing and displaying machines with calculating functions; 8471 - Automatic data-processing machines and units thereof; magnetic or optical readers, machines for transcribing data onto data media in coded form and machines for processing such data, n.e.s.; 8472 - Office machines, e.g. hectograph or stencil duplicating machines, addressing machines, automatic banknote dispensers, coin-sorting machines, coin-counting or coin-wrapping machines, pencil-sharpening machines, perforating or stapling machines, n.e.s.; 8476 - Automatic goods-vending machines, e.g. postage stamp, cigarette, food or beverage machines, incl. money-changing machines; parts thereof; 850440 - Static converters; 850680 - Primary cells and primary batteries, electric (excl. spent, and those of silver oxide, mercuric oxide, manganese dioxide, lithium and air-zinc); 8517 - Telephone sets, incl. smartphones and other telephones for cellular networks or for other wireless networks; other apparatus for the transmission or reception of voice, images or other data, incl. apparatus for communication in a wired or wireless network, parts thereof (excl. transmission or reception apparatus of heading 8443, 8525, 8527 or 8528); 8518 - Microphones and stands therefor (excl. cordless microphones with built-in transmitter); loudspeakers, whether or not mounted in their enclosures; headphones and earphones, whether or not combined with a microphone, and sets consisting of a microphone and one or more loudspeakers (excl. telephone sets, hearing aids and helmets with built-in headphones, whether or not incorporating a microphone); audio-frequency electric amplifiers; electric sound amplifier sets; parts thereof; 8519 - Sound recording or sound reproducing apparatus; 8521 - Video recording or reproducing apparatus, whether or not incorporating a video tuner (excl. video camera recorders); 8525 - Transmission apparatus for radio-broadcasting or television, whether or not incorporating reception apparatus or sound recording or reproducing apparatus; television cameras, digital cameras and video camera recorders; 8526 - Radar apparatus, radio navigational aid apparatus and radio remote control apparatus; 8527 - Reception apparatus for radio-broadcasting, whether or not combined, in the same housing, with sound recording or reproducing apparatus or a clock; 8528 - Monitors and projectors, not incorporating television reception apparatus; reception apparatus for television, whether or not incorporating radio-broadcast receivers or sound or video recording or reproducing apparatus; 8531 - Electric sound or visual signalling apparatus, e.g. bells, sirens, indicator panels, burglar or fire alarms (excl. those for cycles, motor vehicles and traffic signalling); parts thereof; 8536 - Electrical apparatus for switching or protecting electrical circuits, or for making connections to or in electrical circuits, e.g., switches, relays, fuses, surge suppressors, plugs, sockets, lamp holders and junction boxes, for a voltage &lt;= 1.000 V (excl. control desks, cabinets, panels etc. of heading 8537); 8543 - Electrical machines and apparatus, having individual functions, n.e.s. in chapter 85 and parts thereof; 9008 - Image projectors, and photographic enlargers and reducers (excl. cinematographic); 9016 - Balances of a sensitivity of 5 cg or better, with or without weights.; 910610 - Time registers and time recorders; 9207 - Musical instruments, the sound of which is produced, or must be amplified, electrically, e.g. organs, guitars, accordions; 9503 - Tricycles, scooters, pedal cars and similar wheeled toys; dolls' carriages; dolls; other toys; reduced-size ("scale") models and similar recreational models, working or not; puzzles of all kinds.; 9504 - Video game consoles and machines, table or parlour games, incl. pintables, billiards, special tables for casino games and automatic bowling equipment, amusement machines operated by coins, banknotes, bank cards, tokens or by any other means of payment; 9505 - Festival, carnival or other entertainment articles, incl. conjuring tricks and novelty jokes, n.e.s.; 9506 - Articles and equipment for general physical exercise, gymnastics, athletics, other sports, incl. table-tennis, or outdoor games, not specified or included in this chapter or elsewhere; swimming pools and paddling pools.</t>
  </si>
  <si>
    <t>33.160.01 - Audio, video and audiovisual systems in general; 35.020 - Information technology (IT) in general</t>
  </si>
  <si>
    <d:r xmlns:d="http://schemas.openxmlformats.org/spreadsheetml/2006/main">
      <d:rPr>
        <d:sz val="11"/>
        <d:rFont val="Calibri"/>
      </d:rPr>
      <d:t xml:space="preserve">https://members.wto.org/crnattachments/2024/TBT/ISR/24_04837_00_x.pdf</d:t>
    </d:r>
  </si>
  <si>
    <t>RESOLUCIÓN DIRECTORAL No D000023-2024-MIDAGRI-SENASA-DSA (Directorial Resolution No. D000023-2024-MIDAGRI-SENASA-DSA)</t>
  </si>
  <si>
    <t>The notified Directorial Resolution approves the sanitary requirements governing the importation of servals coming from Spain.</t>
  </si>
  <si>
    <t>Servals (Leptailurus serval)</t>
  </si>
  <si>
    <t>010619 - Live mammals (excl. primates, whales, dolphins and porpoises, manatees and dugongs, seals, sea lions and walruses, camels and other camelids, rabbits and hares, horses, asses, mules, hinnies, bovines, pigs, sheep and goats)</t>
  </si>
  <si>
    <t>Animal diseases; Animal health; Pest- or Disease- free Regions / Regionalization</t>
  </si>
  <si>
    <d:r xmlns:d="http://schemas.openxmlformats.org/spreadsheetml/2006/main">
      <d:rPr>
        <d:sz val="11"/>
        <d:rFont val="Calibri"/>
      </d:rPr>
      <d:t xml:space="preserve">https://members.wto.org/crnattachments/2024/SPS/PER/24_04713_00_s.pdf</d:t>
    </d:r>
  </si>
  <si>
    <t>SI  61199 -Single-capped  fluorescent  lamps - Safety  specifications</t>
  </si>
  <si>
    <t xml:space="preserve">First Amendment to the proposed Mandatory Standard SI 61199, dealing with single-capped fluorescent lamps (Notified on 26 May 2020 in G/TBT/N/ISR/1149). This amendment deletes the following sections dealing with energy consumption due to the annulation of Israel's Energy Source Regulations:Deletes a few of the normative references included in Section 2;Deletes the national Section 4.2.202 dealing with energy efficiency label;Deletes Annex J, which deals with the calculation of energy efficiency._x000D_
</t>
  </si>
  <si>
    <t>Single-capped fluorescent lamps</t>
  </si>
  <si>
    <t>853932 - Mercury or sodium vapour lamps; metal halide lamps; 853931 - Discharge lamps, fluorescent, hot cathode</t>
  </si>
  <si>
    <d:r xmlns:d="http://schemas.openxmlformats.org/spreadsheetml/2006/main">
      <d:rPr>
        <d:sz val="11"/>
        <d:rFont val="Calibri"/>
      </d:rPr>
      <d:t xml:space="preserve">https://members.wto.org/crnattachments/2024/TBT/ISR/24_04834_00_x.pdf</d:t>
    </d:r>
  </si>
  <si>
    <t>DEAS 1123: 2022 Leather for orthopaedic use — Specification</t>
  </si>
  <si>
    <t xml:space="preserve">Burundi, Kenya, Rwanda, Tanzania and Uganda would like to inform WTO Members that the Draft East African Standard; DEAS 1123: 2022 Leather for orthopaedic use — Specification; notified in G/TBT/N/BDI/314, G/TBT/N/KEN/1363, G/TBT/N/RWA/755, G/TBT/N/TZA/878 and G/TBT/N/UGA/1725 was adopted by the East African Community Council of Ministers on 14 June 2024._x000D_
A copy of the document can be obtained via the following link at a basic fee; https://webstore.kebs.org</t>
  </si>
  <si>
    <t>DEAS 1112: 2022 Bathroom Slippers — Specification</t>
  </si>
  <si>
    <t>Burundi, Kenya, Rwanda, Tanzania and Uganda would like to inform WTO Members that the Draft East African Standard; DEAS 1112: 2022 Bathroom Slippers — Specification ; notified in G/TBT/N/BDI/296, G/TBT/N/KEN/1331, G/TBT/N/RWA/738, G/TBT/N/TZA/856 and G/TBT/N/UGA/1705 was adopted by the East African Community Council of Ministers on 14 June 2024. A copy of the document can be obtained via the following link at a basic fee; https://webstore.kebs.org</t>
  </si>
  <si>
    <t>Consumer information, labelling (TBT); Consumer information, labelling (TBT); Prevention of deceptive practices and consumer protection (TBT); Prevention of deceptive practices and consumer protection (TBT); Quality requirements (TBT); Quality requirements (TBT); Harmonization (TBT); Harmonization (TBT); Reducing trade barriers and facilitating trade (TBT); Reducing trade barriers and facilitating trade (TBT)</t>
  </si>
  <si>
    <t>DEAS 159: 2023 Engine oils — Specification </t>
  </si>
  <si>
    <t>Burundi, Kenya, Rwanda, Tanzania and Uganda would like to inform WTO Members that the Draft East African Standard; DEAS 159: 2023 Engine oils — Specification ; notified in G/TBT/N/BDI/356, G/TBT/N/KEN/1436, G/TBT/N/RWA/867, G/TBT/N/TZA/970 and G/TBT/N/UGA/1772 was adopted by the East African Community Council of Ministers on 14 June 2024. A copy of the document can be obtained via the following link at a basic fee; https://webstore.kebs.org</t>
  </si>
  <si>
    <t>DEAS 852: 2023 Air-dried roofing paint  –  Specification</t>
  </si>
  <si>
    <t>Burundi, Kenya, Rwanda, Tanzania and Uganda would like to inform WTO Members that the Draft East African Standard; DEAS 852: 2023 Air-dried roofing paint  –  Specification; notified in G/TBT/N/BDI/326, G/TBT/N/KEN/1388, G/TBT/N/RWA/833, G/TBT/N/TZA/912 and G/TBT/N/UGA/1741 was adopted by the East African Community Council of Ministers on 14 June 2024.  A copy of the document can be obtained via the following link at a basic fee; https://webstore.kebs.org</t>
  </si>
  <si>
    <t>DEAS 1124: 2022 Belts specification – Part 1 – Leather</t>
  </si>
  <si>
    <t>Burundi, Kenya, Rwanda, Tanzania and Uganda would like to inform WTO Members that the Draft East African Standard; DEAS 1124: 2022 Belts specification – Part 1 – Leather ; notified in G/TBT/N/BDI/315, G/TBT/N/KEN/1364, G/TBT/N/RWA/756, G/TBT/N/TZA/879 and G/TBT/N/UGA/1726 was adopted by the East African Community Council of Ministers on 14 June 2024. A copy of the document can be obtained via the following link at a basic fee; https://webstore.kebs.org</t>
  </si>
  <si>
    <t>DEAS 1170:2023 Cashew Flour – Specification</t>
  </si>
  <si>
    <t>Burundi, Kenya, Rwanda, Tanzania and Uganda would like to inform WTO Members that the Draft East African Standard; DEAS 1170:2023 Cashew Flour – Specification; notified in G/TBT/N/BDI/403, G/TBT/N/KEN/1498, G/TBT/N/RWA/927, G/TBT/N/TZA/1031 and G/TBT/N/UGA/1838 was adopted by the East African Community Council of Ministers on 14 June 2024. A copy of the document can be obtained via the following link at a basic fee; https://webstore.kebs.org</t>
  </si>
  <si>
    <t>- Cashew nuts: (HS code(s): 08013); Animal and vegetable fats and oils (ICS code(s): 67.200.10)</t>
  </si>
  <si>
    <t>08013 - - Cashew nuts:; 08013 - - Cashew nuts:</t>
  </si>
  <si>
    <t>DEAS 1115-2:2022, Mattresses — Specification – Part 2: Spring mattress,First Edition</t>
  </si>
  <si>
    <t xml:space="preserve">Burundi, Kenya, Rwanda, Tanzania and Uganda would like to inform WTO Members that the Draft East African Standard; DEAS 1115-2:2022, Mattresses — Specification – Part 2: Spring mattress, First Edition; notified in G/TBT/N/BDI/298, G/TBT/N/KEN/1333, G/TBT/N/RWA/740, G/TBT/N/TZA/858 and G/TBT/N/UGA/1707 was adopted by the East African Community Council of Ministers on 14 June 2024._x000D_
 A copy of the document can be obtained via the following link at a basic fee; https://webstore.kebs.org</t>
  </si>
  <si>
    <t>- Mattresses : (HS code(s): 94042)</t>
  </si>
  <si>
    <t>94042 - - Mattresses :; 94042 - - Mattresses :</t>
  </si>
  <si>
    <t>97.140 - Furniture; 97.140 - Furniture</t>
  </si>
  <si>
    <t>National Food Safety Standard of the P.R.C.: General Principles for the Labeling of Prepackaged Foods</t>
  </si>
  <si>
    <t xml:space="preserve">Based on document G/TBT/N/CHN/1827 that notified on _February 12, 2024, the standard has_x000D_
1.Removed the requirements for font height, the producer information for domestically produced food, the net content, and the labeling requirements for multi-layer and combination packaging. The relevant content is proposed to be separately regulated by the SAMR._x000D_
2. Deleted the definitions of attribute names, use-by date and food claims, as well as the specific requirements for food claims in Appendix E._x000D_
3. The labeling requirements for the production date have been modified. For pre-packaged foods with a shelf life of more than 1 year and a maximum surface area of the packaging not exceeding 20 cm², just indicate the shelf life and the expiration date, and there is no need to indicate the production date._x000D_
The detailed modification content is provided in the standard text.</t>
  </si>
  <si>
    <t>Prepackaged Foods (ICS code(s): 67.230)</t>
  </si>
  <si>
    <t>Consumer information, labelling (TBT); Prevention of deceptive practices and consumer protection (TBT); Protection of human health or safety (TBT); Harmonization (TBT)</t>
  </si>
  <si>
    <d:r xmlns:d="http://schemas.openxmlformats.org/spreadsheetml/2006/main">
      <d:rPr>
        <d:sz val="11"/>
        <d:rFont val="Calibri"/>
      </d:rPr>
      <d:t xml:space="preserve">https://members.wto.org/crnattachments/2024/TBT/CHN/modification/24_04716_00_x.pdf
WTO/TBT National Notification and Enquiry Center of the People’s Republic of China
Tel：+86 10 57954633 / 57954627
E_mail: tbt@customs.gov.cn
</d:t>
    </d:r>
  </si>
  <si>
    <t>DEAS 1171:2023 Peanut/groundnut flour — Specification</t>
  </si>
  <si>
    <t xml:space="preserve">Burundi, Kenya, Rwanda, Tanzania and Uganda would like to inform WTO Members that the Draft East African Standard; DEAS 1171:2023 Peanut/groundnut flour — Specification; notified in G/TBT/N/BDI/404, G/TBT/N/KEN/1499, G/TBT/N/RWA/928, G/TBT/N/TZA/1032 and G/TBT/N/UGA/1839 was adopted by the East African Community Council of Ministers on 14 June 2024. A copy of the document can be obtained via the following link at a basic fee; https://webstore.kebs.org_x000D_
</t>
  </si>
  <si>
    <t>- Other: (HS code(s): 12024); Animal and vegetable fats and oils (ICS code(s): 67.200.10)</t>
  </si>
  <si>
    <t>12024 - - Other:; 12024 - - Other:</t>
  </si>
  <si>
    <t>DEAS 1121: 2022 Handbags specification – Part 1 – Leather and coated fabrics</t>
  </si>
  <si>
    <t>Burundi, Kenya, Rwanda, Tanzania and Uganda would like to inform WTO Members that the Draft East African Standard; DEAS 1121: 2022 Handbags specification – Part 1 – Leather and coated fabrics; notified in G/TBT/N/BDI/317, G/TBT/N/KEN/1366, G/TBT/N/RWA/758, G/TBT/N/TZA/881 and G/TBT/N/UGA/172 was adopted by the East African Community Council of Ministers on 14 June 2024.A copy of the document can be obtained via the following link at a basic fee; https://webstore.kebs.org</t>
  </si>
  <si>
    <t>Proyecto de Resolución GMC N° 02/24 - Modificación de la Resolución GMC Nº 40/15 "Reglamento Técnico MERCOSUR sobre Materiales, Envases y Equipamientos Celulósicos Destinados a Estar en Contacto con Alimentos" (Draft Common Market Group (GMC) Resolution No. 02/24 - Amendment to GMC Resolution No. 40/15 "MERCOSUR Technical Regulation on cellulosic materials, packaging and equipment to be used in contact with food") (1 page, in Spanish)</t>
  </si>
  <si>
    <t>The notified draft Resolution updates GMC Resolution No. 40/15 "MERCOSUR Technical Regulation on cellulosic materials, packaging and equipment to be used in contact with food", replacing paragraph 1.2(f) of Part II "Positive list of components for cellulosic materials, packaging and equipment to be used in contact with food" in order to modify the maximum permissible amount of the contaminant diisopropylnaphthalene in finished products containing recycled fibres. G/TBT/N/URY/95 - 2 -</t>
  </si>
  <si>
    <t>Cellulosic materials, packaging and equipment to be used in contact with food; Packaging materials and accessories (ICS code(s): 55.040)</t>
  </si>
  <si>
    <t>55.040 - Packaging materials and accessories</t>
  </si>
  <si>
    <d:r xmlns:d="http://schemas.openxmlformats.org/spreadsheetml/2006/main">
      <d:rPr>
        <d:sz val="11"/>
        <d:rFont val="Calibri"/>
      </d:rPr>
      <d:t xml:space="preserve">https://members.wto.org/crnattachments/2024/TBT/URY/24_04595_00_s.pdf</d:t>
    </d:r>
  </si>
  <si>
    <t>DEAS 850: 2023 Matt solvent-borne paint for interior and exterior use –  Specification </t>
  </si>
  <si>
    <t>Burundi, Kenya, Rwanda, Tanzania and Uganda would like to inform WTO Members that the Draft East African Standard; DEAS 850: 2023 Matt solvent-borne paint for interior and exterior use –  Specification; notified in G/TBT/N/BDI/325, G/TBT/N/KEN/1387, G/TBT/N/RWA/832, G/TBT/N/TZA/911 and G/TBT/N/UGA/1740 was adopted by the East African Community Council of Ministers on 14 June 2024. A copy of the document can be obtained via the following link at a basic fee; https://webstore.kebs.org</t>
  </si>
  <si>
    <t>DEAS 1125: 2022 Wallets specification – Part 1 - Leather</t>
  </si>
  <si>
    <t>Burundi, Kenya, Rwanda, Tanzania and Uganda would like to inform WTO Members that the Draft East African Standard; DEAS 1125: 2022 Wallets specification – Part 1 - Leather ; notified in G/TBT/N/BDI/316, G/TBT/N/KEN/1365, G/TBT/N/RWA/757, G/TBT/N/TZA/880 and G/TBT/N/UGA/1727  was adopted by the East African Community Council of Ministers on 14 June 2024. A copy of the document can be obtained via the following link at a basic fee; https://webstore.kebs.org</t>
  </si>
  <si>
    <t>42023 - - Articles of a kind normally carried in the pocket or in the handbag :; 42023 - - Articles of a kind normally carried in the pocket or in the handbag :</t>
  </si>
  <si>
    <t>59.140.35 - Leather products; 59.140.35 - Leather products; 61.060 - Footwear; 61.060 - Footwear</t>
  </si>
  <si>
    <t>INSTRUCCIÓN TÉCNICA RGR N°02/2024: DISEÑO Y EJECUCIÓN DE LAS INSTALACIONES FOTOVOLTAICAS CONECTADAS A REDES DE DISTRIBUCIÓN (Technical Instruction RGR No. 02/2024: Design and operation of photovoltaic installations connected to distribution networks) (60 pages, in Spanish)</t>
  </si>
  <si>
    <t>The provisions of this Technical Instruction apply to the design, operation, inspection and maintenance of photovoltaic electrical installations connected to the distribution network, with a maximum power not exceeding that specified in Law No. 21.118 or the provisions replacing it, and are intended to lay down the requirements to be fulfilled in the design, operation, inspection and maintenance of photovoltaic electrical installations notified to the Electricity and Fuel Board for connection to the distribution network, with the aims of providing an efficient service, ensuring the safety of persons who operate or use such installations and preserving the physical and operational integrity of the electricity distribution network.</t>
  </si>
  <si>
    <t>Photovoltaic installations connected to distribution networks</t>
  </si>
  <si>
    <t>27.160 - Solar energy engineering; 29.240 - Power transmission and distribution networks; 91.140.50 - Electricity supply systems</t>
  </si>
  <si>
    <d:r xmlns:d="http://schemas.openxmlformats.org/spreadsheetml/2006/main">
      <d:rPr>
        <d:sz val="11"/>
        <d:rFont val="Calibri"/>
      </d:rPr>
      <d:t xml:space="preserve">https://members.wto.org/crnattachments/2024/TBT/CHL/24_04708_00_s.pdf</d:t>
    </d:r>
  </si>
  <si>
    <t>INSTRUCCIÓN TÉCNICA RGR N°06/2024: DISEÑO Y EJECUCIÓN DE INSTALACIONES DE SISTEMAS DE ALMACENAMIENTO DE ENERGÍA A TRAVÉS DE BATERÍAS EN INSTALACIONES ELÉCTRICAS (Technical Instruction RGR No. 06/2024: Design and operation of battery energy storage systems in electrical installations) (77 pages, in Spanish)</t>
  </si>
  <si>
    <t xml:space="preserve">This Technical Instruction establishes general installation and safety requirements for battery energy storage systems (BESS), including both the battery system (BS) itself and the power conversion equipment (PCE) to which it is connected to convert energy and supply other parts of the electrical installation, and is intended to lay down the requirements to be fulfilled in the design, operation, inspection and maintenance of battery energy storage systems in electrical installations notified to the Electricity and Fuel Board, with the aims of providing an efficient service and ensuring the safety of persons who operate or use such installations. The provisions of this Technical Instruction apply both to BESSs connected to mains power, with or without grid feed-in, and to off-grid installations. Moreover, in the case of on-grid installations, this Technical Instruction applies to storage systems with an associated energy source and to stand-alone storage systems. This Technical Instruction governs the following BESS components: (a) Pre-assembled integrated BESSs. (b) Pre-assembled BSs. (c) Unassembled BSs. G/TBT/N/CHL/693 - 2 -   (d) Battery inverters for energy storage for the systems mentioned above in their interaction with the BS. (e) Charge controllers in their interaction with the BS. This Technical Instruction does not apply to BESSs in the following types of installation: (a) Pre-assembled integrated uninterruptible power systems (UPS). (b) Emergency systems defined in Technical Schedule RIC No. 08 of the Electricity and Fuel Board. (c) Telecommunications applications. (d) Electric vehicles. (e) Portable equipment.</t>
  </si>
  <si>
    <t>Battery energy storage systems in electrical installations</t>
  </si>
  <si>
    <t>29.220.99 - Other cells and batteries; 91.140.50 - Electricity supply systems</t>
  </si>
  <si>
    <d:r xmlns:d="http://schemas.openxmlformats.org/spreadsheetml/2006/main">
      <d:rPr>
        <d:sz val="11"/>
        <d:rFont val="Calibri"/>
      </d:rPr>
      <d:t xml:space="preserve">https://members.wto.org/crnattachments/2024/TBT/CHL/24_04709_00_s.pdf</d:t>
    </d:r>
  </si>
  <si>
    <t>INSTRUCCIÓN TÉCNICA RGR N°01/2024: PROCEDIMIENTO DE COMUNICACIÓN DE ENERGIZACIÓN DE GENERADORAS RESIDENCIALES Y SISTEMAS DE ALMACENAMIENTO DE ENERGÍA (Technical Instruction RGR No. 01/2024: Procedure for reporting the energization of residential generators and energy storage systems) (41 pages, in Spanish)</t>
  </si>
  <si>
    <t>The purpose of this Technical Instruction is to provide for the reporting of the energization of distributed generation facilities for self-consumption in accordance with Article 26 of Supreme Decree No. 57/2019 of the Ministry of Energy approving the Regulation on Distributed Generation for Self-consumption under Law No. 21.118. The provisions of this Technical Instruction apply to the energization reporting process and to the documentation to be submitted when declaring distributed generation facilities by electrical installers accredited by the Electricity and Fuel Board.</t>
  </si>
  <si>
    <t>Residential generators and energy storage systems</t>
  </si>
  <si>
    <t>29.160.20 - Generators; 91.140.50 - Electricity supply systems</t>
  </si>
  <si>
    <d:r xmlns:d="http://schemas.openxmlformats.org/spreadsheetml/2006/main">
      <d:rPr>
        <d:sz val="11"/>
        <d:rFont val="Calibri"/>
      </d:rPr>
      <d:t xml:space="preserve">https://members.wto.org/crnattachments/2024/TBT/CHL/24_04710_00_s.pdf</d:t>
    </d:r>
  </si>
  <si>
    <t>Modification to buffer zone between the front-of-package nutrition symbol and the supplemented food caution identifier, and between nutrition symbols.</t>
  </si>
  <si>
    <t>The purpose of this notice is to inform consumers and interested stakeholders that Health Canada’s Food and Nutrition Directorate has modified the Directory of Nutrition Symbol Specifications and the Directory of Supplemented Food Caution Identifier Specifications. This modification permits the front-of-package (FOP) nutrition symbol and the supplemented food caution identifier (SFCI) to be displayed with no buffer between them where they share a border (that is, where they are contiguous). This flexibility also applies to prepackaged products that contain an assortment of foods that require more than one FOP nutrition symbol and/or the SFCI.The minimum buffer would continue to apply to the remaining borders of each symbol as indicated in their respective directories, as would the requirement for prepackaged products that contain an assortment of foods to display the nutrition symbols in a manner that clearly indicates the applicable nutrients that are contained in each food. Consequently, Health Canada has amended each directory to include a footnote to column 4 of the tables, permitting a buffer as small as 0 mm between symbols labelled contiguous.The above modification came into force July 17, 2024, the day it was published in the Directory of Nutrition Symbol Specifications and the Directory of Supplemented Food Caution Identifier SpecificationsHealth Canada's Food and Nutrition Directorate is committed to reviewing new relevant to this notice. Anyone wishing to submit an inquiry or new information may do so in writing, by regular mail or electronically.  </t>
  </si>
  <si>
    <t>Prepackaged and prepared foods(ICS Code: 67.230) </t>
  </si>
  <si>
    <d:r xmlns:d="http://schemas.openxmlformats.org/spreadsheetml/2006/main">
      <d:rPr>
        <d:sz val="11"/>
        <d:rFont val="Calibri"/>
      </d:rPr>
      <d:t xml:space="preserve">(English) https://www.canada.ca/en/health-canada/services/food-nutrition/public-involvement-partnerships/modification-buffer-zone-between-front-package-nutrition-symbol-supplemented-food-caution-identifier-symbols.html
(French) https://www.canada.ca/fr/sante-canada/services/aliments-nutrition/participation-public-partenariats/modification-espace-degagement-entre-symbole-nutritionnel-devant-emballage-identifiant-aliments-supplementes-mise-garde-nutritionnels.html</d:t>
    </d:r>
  </si>
  <si>
    <t>The Environmental Protection (Wet Wipes Containing Plastic) (Scotland) Regulations 2024</t>
  </si>
  <si>
    <t>These regulations propose to introduce a ban on the supply and sale of wet wipes containing plastic. There will be exemptions for wet wipes intended for medical and industrial uses, and for business-to-business sales. The legislation provides a transition period of 18-months for businesses to make necessary adjustments. Under these regulations “plastic” means a material consisting of polymer as defined in Article 3(5) of Regulation (EC) No 1907/2006 concerning the Registration, Evaluation, Authorisation and Restriction of Chemicals (REACH), to which additives or other substances may have been added, and which can function as a main structural component of final products, with the exception of natural polymers that have not been chemically modified.A “wet wipe” is defined as a non-woven piece of fabric which has been soaked and stored in liquid and which is not designed or intended to be re-used, including but not limited to baby wipes, cosmetic wipes, moist toilet tissues, personal hygiene wipes and wipe-based cleaning products.These regulations will apply in Scotland. England, Wales, and Northern Ireland (the other nations of the UK) will introduce their own legislation of the same intent and scope to ban wet wipes containing plastic in each of their respective nations. </t>
  </si>
  <si>
    <t>Beauty or make-up preparations and preparations for the care of the skin (other than medicaments), including sunscreen or suntan preparations; manicure or pedicure products. (CCCN 3304990000)Organic surface-active agents (other than soap); surface-active preparations, washing preparations (including auxiliary washing preparations) and cleaning preparations, whether or not containing soap, other than those of heading 3401. (HS 3402)Insecticides, rodenticides, fungicides, herbicides, anti-sprouting products and plant-growth regulators, disinfectants and similar products, put up in forms or packings for retail sale or as preparations or articles (for example, sulphur-treated bands, wicks and candles, and fly-papers). (HS 3808)</t>
  </si>
  <si>
    <t>3304 - Beauty or make-up preparations and preparations for the care of the skin, incl. sunscreen or suntan preparations (excl. medicaments); manicure or pedicure preparations; 3402 - Organic surface-active agents (excl. soap); surface-active preparations, washing preparations, incl. auxiliary washing preparations, and cleaning preparations, whether or not containing soap (excl. those of heading 3401); 3808 - Insecticides, rodenticides, fungicides, herbicides, anti-sprouting products and plant-growth regulators, disinfectants and similar products, put up for retail sale or as preparations or articles, e.g. sulphur-treated bands, wicks and candles, and fly-papers</t>
  </si>
  <si>
    <t>65.100 - Pesticides and other agrochemicals; 71.100.40 - Surface active agents; 83.140 - Rubber and plastics products; 97.170 - Body care equipment</t>
  </si>
  <si>
    <d:r xmlns:d="http://schemas.openxmlformats.org/spreadsheetml/2006/main">
      <d:rPr>
        <d:sz val="11"/>
        <d:rFont val="Calibri"/>
      </d:rPr>
      <d:t xml:space="preserve">https://members.wto.org/crnattachments/2024/TBT/GBR/24_04705_00_e.pdf</d:t>
    </d:r>
  </si>
  <si>
    <t>Analysis of Imported Products - Resolution of the Board of the National Grape-Growing and Wine Production Institute (INAVI) of 14 February 2019</t>
  </si>
  <si>
    <t xml:space="preserve">The Resolution of the Board of INAVI dated 27 June 2024 repeals the Resolution of the Board of INAVI of 14 February 2019. Accordingly, from 1 July 2024, there will no longer be a requirement, in the import procedure for wine products, for an accredited laboratory in the country of origin to provide proof that the shipment contains no percentage of exogenous water. __________  1 This information can be provided by including a website address, a PDF attachment, or other information on where the text of the final measure/change to the measure/interpretative guidance can be obtained.</t>
  </si>
  <si>
    <t>All wine products (ICS: 67.160.10)</t>
  </si>
  <si>
    <t>Energy Sources Law (Amendment no. 5) 5784-2024</t>
  </si>
  <si>
    <t>Electrical appliances in general (HS code(s): 84; 85)</t>
  </si>
  <si>
    <t>85 - ELECTRICAL MACHINERY AND EQUIPMENT AND PARTS THEREOF; SOUND RECORDERS AND REPRODUCERS, TELEVISION IMAGE AND SOUND RECORDERS AND REPRODUCERS, AND PARTS AND ACCESSORIES OF SUCH ARTICLES; 84 - NUCLEAR REACTORS, BOILERS, MACHINERY AND MECHANICAL APPLIANCES; PARTS THEREOF; 85 - ELECTRICAL MACHINERY AND EQUIPMENT AND PARTS THEREOF; SOUND RECORDERS AND REPRODUCERS, TELEVISION IMAGE AND SOUND RECORDERS AND REPRODUCERS, AND PARTS AND ACCESSORIES OF SUCH ARTICLES; 84 - NUCLEAR REACTORS, BOILERS, MACHINERY AND MECHANICAL APPLIANCES; PARTS THEREOF</t>
  </si>
  <si>
    <d:r xmlns:d="http://schemas.openxmlformats.org/spreadsheetml/2006/main">
      <d:rPr>
        <d:sz val="11"/>
        <d:rFont val="Calibri"/>
      </d:rPr>
      <d:t xml:space="preserve">https://members.wto.org/crnattachments/2024/TBT/ISR/final_measure/24_04707_00_x.pdf</d:t>
    </d:r>
  </si>
  <si>
    <t>Proyecto de Resolución GMC N° 1/24 "Reglamento Técnico MERCOSUR para Películas de Celulosa Regenerada Destinadas a Entrar en Contacto con Alimentos (Derogación de la Resolución GMC N° 55/97)" (Draft Common Market Group (GMC) Resolution No. 1/14 - "MERCOSUR Technical Regulation on regenerated cellulose film to be used in contact with food (Repeal of GMC Resolution No. 55/97)") (15 pages, in Spanish)</t>
  </si>
  <si>
    <t>The notified draft Resolution updates the requirements for regenerated cellulose film to be used in contact with food and repeals GMC Resolution No. 55/97 on the same subject. The new Regulation will apply in the territory of the States parties, to trade among them and to imports from outside the MERCOSUR area.</t>
  </si>
  <si>
    <t>Regenerated cellulose film to be used in contact with food; paper and paperboard; articles of paper pulp, of paper or of paperboard (HS code(s): 48); packaging materials and accessories (ICS code(s): 55.040)</t>
  </si>
  <si>
    <t>48 - PAPER AND PAPERBOARD; ARTICLES OF PAPER PULP, OF PAPER OR OF PAPERBOARD</t>
  </si>
  <si>
    <d:r xmlns:d="http://schemas.openxmlformats.org/spreadsheetml/2006/main">
      <d:rPr>
        <d:sz val="11"/>
        <d:rFont val="Calibri"/>
      </d:rPr>
      <d:t xml:space="preserve">https://members.wto.org/crnattachments/2024/TBT/URY/24_04594_00_s.pdf</d:t>
    </d:r>
  </si>
  <si>
    <t>Draft resolution 1224, 11 December 2023</t>
  </si>
  <si>
    <t>Draft resolution 1224, 11 December 2023 - previously notified through G/TBT/N/BRA/1517 - which  is a proposal for a standard that deals with the availability of leaflets in digital forma, was adopted as Resolution 885, 10 July 2024.The final text is available only in Portuguese.</t>
  </si>
  <si>
    <t>Medicaments (ICS code(s): 11.120.10)</t>
  </si>
  <si>
    <d:r xmlns:d="http://schemas.openxmlformats.org/spreadsheetml/2006/main">
      <d:rPr>
        <d:sz val="11"/>
        <d:rFont val="Calibri"/>
      </d:rPr>
      <d:t xml:space="preserve">https://antigo.anvisa.gov.br/documents/10181/6691799/RDC_885_2024_.pdf/3a0d760c-2497-4df6-be9f-f2e645fe8b31</d:t>
    </d:r>
  </si>
  <si>
    <t>Regulatory Framework for the Use of Genome Edited Crops for Food and Animal Feed</t>
  </si>
  <si>
    <t>The draft Regulatory Framework for the Use of Genome Edited Crops for Food and Animal Feed has been finalized and will enter into force on 1 August 2024.</t>
  </si>
  <si>
    <t>Genome edited (GEd) crops, and food and feed produced from GEd crops</t>
  </si>
  <si>
    <t>Human health; Food safety; Animal feed; Genetically modified organisms (GMOs); Adoption/publication/entry into force of reg.; Genetically modified organisms (GMOs); Animal feed; Food safety; Human health</t>
  </si>
  <si>
    <t>DKS 2455:2024Food safety – General standard</t>
  </si>
  <si>
    <t>This draft Kenya Standard specifies the basic safety requirements, sampling and test methods for foods intended for direct human consumption and/or further processing where there is no specific product standard.</t>
  </si>
  <si>
    <t>Microbiology in general (ICS code(s): 07.100.01)</t>
  </si>
  <si>
    <t>67.040 - Food products in general; 07.100.01 - Microbiology in general</t>
  </si>
  <si>
    <d:r xmlns:d="http://schemas.openxmlformats.org/spreadsheetml/2006/main">
      <d:rPr>
        <d:sz val="11"/>
        <d:rFont val="Calibri"/>
      </d:rPr>
      <d:t xml:space="preserve">https://members.wto.org/crnattachments/2024/SPS/KEN/24_04656_00_e.pdf</d:t>
    </d:r>
  </si>
  <si>
    <t>Brunei Darussalam</t>
  </si>
  <si>
    <t>Food Order, 2024</t>
  </si>
  <si>
    <t>The Draft Food Order, 2024 has been developed to replace the Public Health Act (Food) Chapter 182 with the intention of further strengthening the scope and enforcement of the legislation in ensuring food safety and public health in relation to the regulation of food in Brunei Darussalam.</t>
  </si>
  <si>
    <d:r xmlns:d="http://schemas.openxmlformats.org/spreadsheetml/2006/main">
      <d:rPr>
        <d:sz val="11"/>
        <d:rFont val="Calibri"/>
      </d:rPr>
      <d:t xml:space="preserve">https://members.wto.org/crnattachments/2024/SPS/BRN/24_04624_00_e.pdf</d:t>
    </d:r>
  </si>
  <si>
    <d:r xmlns:d="http://schemas.openxmlformats.org/spreadsheetml/2006/main">
      <d:rPr>
        <d:sz val="11"/>
        <d:rFont val="Calibri"/>
      </d:rPr>
      <d:t xml:space="preserve">https://www.foodstandards.gov.au/food-standards-code/applications/A1257-Australian-native-bee-honey</d:t>
    </d:r>
  </si>
  <si>
    <t xml:space="preserve">Notice of Availability and Request for Comment: Revision to the 
Voluntary Standard for Infant Bath Seats</t>
  </si>
  <si>
    <t xml:space="preserve">The U.S. Consumer Product Safety Commission's (Commission or CPSC) mandatory rule, Safety Standard for Infant Bath Seats, incorporates by reference ASTM F1967-19, Standard Consumer Safety Specification for Infant Bath Seats. ASTM notified the Commission that it has revised this incorporated voluntary standard. CPSC seeks comment on whether the revision improves the safety of infant bath seats.ASTM F1967-24 - Standard Consumer Safety Specification for Infant Bath SeatsComments must be received by 1 August 2024.89 Federal Register (FR) 58303, Title 16 Code of Federal Regulations (CFR) Part 1215_x000D_
https://www.govinfo.gov/content/pkg/FR-2024-07-18/html/2024-15843.htm_x000D_
https://www.govinfo.gov/content/pkg/FR-2024-07-18/pdf/2024-15843.pdfThis notification of availability; request for comments and previous actions notified under the symbol G/TBT/N/USA/489 are identified by Docket Number CPSC-2009-0064. The Docket Folder is available on Regulations.gov at https://www.regulations.gov/docket/CPSC-2009-0064/document and provides access to primary and supporting documents as well as comments received. Documents are also accessible from Regulations.gov by searching the Docket Number. WTO Members and their stakeholders are asked to submit comments to the USA TBT Enquiry Point by or before 4pmEastern Time on 1 August 2024. Comments received by the USA TBT Enquiry Point from WTO Members and their stakeholders will be shared with CPSC and will also be submitted to the Docket on Regulations.gov if received within the comment period.</t>
  </si>
  <si>
    <t xml:space="preserve">Infant bath seats  (HS: 9401.80, ICS: 97.190)</t>
  </si>
  <si>
    <t>940180 - Seats, n.e.s.; 940180 - Seats, n.e.s.</t>
  </si>
  <si>
    <d:r xmlns:d="http://schemas.openxmlformats.org/spreadsheetml/2006/main">
      <d:rPr>
        <d:sz val="11"/>
        <d:rFont val="Calibri"/>
      </d:rPr>
      <d:t xml:space="preserve">https://members.wto.org/crnattachments/2024/TBT/USA/modification/24_04662_00_e.pdf</d:t>
    </d:r>
  </si>
  <si>
    <t>Modification to the List of permitted preservatives to enable the use of chitosan </t>
  </si>
  <si>
    <t>Health Canada's Food Directorate completed a premarket safety assessment of a food additive submission seeking authorization for the use of chitosan from white button mushrooms (Agaricus bisporus) as a preservative in numerous foods. Chitosan is a new food additive in Canada.The results of the premarket assessment support the safety and efficacy of chitosan from white button mushrooms (Abisporus) as a preservative in numerous foods. Consequently, Health Canada is authorizing the use of  chitosan from Abisporus as described in the information document by modifying the List of Permitted Preservatives, effective 30 May 2024.The purpose of this communication is to publicly announce the Department's decision in this regard and to provide the appropriate contact information for those wishing to submit an inquiry or new scientific information relevant to the safety of this food additive.</t>
  </si>
  <si>
    <t>Chitosan(ICS codes: 67.220.20)</t>
  </si>
  <si>
    <t>Human health; Food safety; Food additives; Adoption/publication/entry into force of reg.; Food additives; Food safety; Human health</t>
  </si>
  <si>
    <t>ORDINANCE SDA/MAPA No. 1.145, of 16 July 2024 - Establishes phytosanitary requirements for the import of fresh tangerine, clementine and citron fruits from the Kingdom of Morocco</t>
  </si>
  <si>
    <t>The phytosanitary requirements for the import of fresh fruits (Category 3) of tangerine (Citrus reticulata), clementine (Citrus clementina) and citron (Citrus medica) produced in Morocco are  established.</t>
  </si>
  <si>
    <t>Fresh tangerine, clementine and citron fruits</t>
  </si>
  <si>
    <t>080522 - Fresh or dried clementines incl. monreales; 080521 - Fresh or dried mandarins incl. tangerines and satsumas (excl. clementines); 0805 - Citrus fruit, fresh or dried</t>
  </si>
  <si>
    <d:r xmlns:d="http://schemas.openxmlformats.org/spreadsheetml/2006/main">
      <d:rPr>
        <d:sz val="11"/>
        <d:rFont val="Calibri"/>
      </d:rPr>
      <d:t xml:space="preserve">https://members.wto.org/crnattachments/2024/SPS/BRA/24_04664_00_x.pdf
https://www.in.gov.br/en/web/dou/-/portaria-sda/mapa-n-1.145-de-16-de-julho-de-2024-572895354</d:t>
    </d:r>
  </si>
  <si>
    <t>Resolución exenta No 4.589, de 2024 que "Modifica Resolución No 7.214 de 2014 que establece requisitos fitosanitarios de importación para plantas para plantar de uso ornamental, de especies y tipo de material que se indica, procedentes de todo origen y deroga Resolución No 7.312 de 2023" (Exempt Resolution No. 4.589 of 2024 to amend Resolution No. 7.214 of 2014 establishing phytosanitary requirements for the importation of certain species and types of ornamental plants for planting, of any origin, and to repeal Resolution No. 7.312 of 2023) Chile hereby advises that Exempt Resolution No. 4.589 of 2024 to amend Resolution No. 7.214 of 2014 establishing phytosanitary requirements for the importation of certain species and types of ornamental plants for planting, of any origin, and to repeal Resolution No. 7.312 of 2023 was published in the Official Journal on 19 July 2024 and will enter into force on 17 September 2024. https://members.wto.org/crnattachments/2024/SPS/CHL/24_04672_00_s.pdf</t>
  </si>
  <si>
    <t>Plantas para plantar de uso ornamental de Adenium obesumDionaea muscipulaDipladenia sanderiDuboisia leichhardtiiDuboisia myoporoidesFagus sylvaticaHibiscus rosa-sinensisHylocereus trigonusLagerstroemia indicaMagnolia grandifloraMyrsine africanaNerium oleanderPachira aquaticaSelaginella lepidophilla y Viburnum tinus</t>
  </si>
  <si>
    <t>0601 - Bulbs, tubers, tuberous roots, corms, crowns and rhizomes, dormant, in growth or in flower, chicory plants and roots (excl. bulbs, tubers and tuberous roots used for human consumption and chicory roots of the variety cichorium intybus sativum); 0602 - Live plants incl. their roots, cuttings and slips; mushroom spawn (excl. bulbs, tubers, tuberous roots, corms, crowns and rhizomes, and chicory plants and roots); 0601 - Bulbs, tubers, tuberous roots, corms, crowns and rhizomes, dormant, in growth or in flower, chicory plants and roots (excl. bulbs, tubers and tuberous roots used for human consumption and chicory roots of the variety cichorium intybus sativum); 0602 - Live plants incl. their roots, cuttings and slips; mushroom spawn (excl. bulbs, tubers, tuberous roots, corms, crowns and rhizomes, and chicory plants and roots)</t>
  </si>
  <si>
    <t>Plant health; Adoption/publication/entry into force of reg.; Pests; Pests; Plant health</t>
  </si>
  <si>
    <d:r xmlns:d="http://schemas.openxmlformats.org/spreadsheetml/2006/main">
      <d:rPr>
        <d:sz val="11"/>
        <d:rFont val="Calibri"/>
      </d:rPr>
      <d:t xml:space="preserve">https://members.wto.org/crnattachments/2024/SPS/CHL/24_04672_00_s.pdf</d:t>
    </d:r>
  </si>
  <si>
    <t>Notice of Administration Order of Saudi Food and Drug Authority Ref. No. 11808 dated 6 December 2022 entitled “Temporary ban on importation of poultry meat, eggs and their products originating from Finistère, Mayenne and Côtes‑d'Armor in France”</t>
  </si>
  <si>
    <t>The Saudi Food and Drug Authority (SFDA) issued the Notice of Administration Order of Saudi Food and Drug Authority Ref. No. 11808 dated 6 December 2022 entitled “Temporary ban on importation of poultry meat, eggs and their products originating from Finistère, Mayenne and Côtes‑d'Armor in France”. The Saudi Food and Drug Authority (SFDA) has subsequently issued the Notice Administrative Order No. 2128 dated 18 July 2024, lifting the temporary ban on the importation of poultry meat, eggs and their products originating from Côtes‑d'Armor in France, based on the WOAH report dated 14 August 2024, indicating that Côtes‑d'Armor in France is free of Highly Pathogenic Avian Influenza Virus (HPAI).</t>
  </si>
  <si>
    <t>65 - AGRICULTURE; 65 - AGRICULTURE</t>
  </si>
  <si>
    <t>Avian Influenza; Animal health; Zoonoses; Animal diseases; Pest- or Disease- free Regions / Regionalization; Withdrawal of the measure; Pest- or Disease- free Regions / Regionalization; Zoonoses; Avian Influenza; Animal diseases; Animal health</t>
  </si>
  <si>
    <d:r xmlns:d="http://schemas.openxmlformats.org/spreadsheetml/2006/main">
      <d:rPr>
        <d:sz val="11"/>
        <d:rFont val="Calibri"/>
      </d:rPr>
      <d:t xml:space="preserve">https://members.wto.org/crnattachments/2024/SPS/SAU/24_04678_00_x.pdf</d:t>
    </d:r>
  </si>
  <si>
    <t>Modification to the List of permitted preservatives to extend the use of nisin</t>
  </si>
  <si>
    <t>Health Canada's Food Directorate completed a premarket safety assessment of a food additive submission seeking authorization for the use of nisin in egg-white wraps.The results of the premarket assessment support the safety and efficacy of nisin for use as a preservative in egg-white wraps. Consequently, Health Canada has extended the use of nisinas described in the information document above by modifying the List of permitted preservatives effective 30 May 2024The purpose of this communication is to publicly announce the Department's intention in this regard and to provide the appropriate contact information for those wishing to submit an inquiry or new scientific information relevant to the safety of this food additive.</t>
  </si>
  <si>
    <t>Nisin(ICS code: 67.220.20)</t>
  </si>
  <si>
    <t>Proyecto de Decreto que incorpora al ordenamiento jurídico nacional la Resolución MERCOSUR/GMC No 7/23 "Requisitos fitosanitarios para Musa spp. (banana) según país de destino y origen para los Estados Partes del MERCOSUR (Derogación Resolución GMC No 23/16)" (Draft Decree incorporating into national law Resolution MERCOSUR/GMC No. 7/23, "Phytosanitary requirements for Musa spp. (banana), according to country of destination and origin, for MERCOSUR States parties (Repeal of GMC Resolution No. 23/16)")</t>
  </si>
  <si>
    <t>The notified draft Decree updates the phytosanitary requirements for the importation of in vitro banana plants and fresh bananas for trade among MERCOSUR States parties. It also repeals GMC Resolution No. 23/16 on the same subject, approved by Resolution No. 60/018 of the Directorate-General of Agricultural Services of the Ministry of Livestock, Agriculture and Fisheries.</t>
  </si>
  <si>
    <t>In vitro banana (Musa spp.) plants and fresh bananas</t>
  </si>
  <si>
    <t>0803 - Bananas, incl. plantains, fresh or dried; 060220 - Edible fruit or nut trees, shrubs and bushes, whether or not grafted</t>
  </si>
  <si>
    <t>Argentina; Brazil; Paraguay</t>
  </si>
  <si>
    <d:r xmlns:d="http://schemas.openxmlformats.org/spreadsheetml/2006/main">
      <d:rPr>
        <d:sz val="11"/>
        <d:rFont val="Calibri"/>
      </d:rPr>
      <d:t xml:space="preserve">https://members.wto.org/crnattachments/2024/SPS/URY/24_04688_00_s.pdf
https://members.wto.org/crnattachments/2024/SPS/URY/24_04688_01_s.pdf</d:t>
    </d:r>
  </si>
  <si>
    <t>Regula la internación a Chile de productos pecuarios, para consumo o uso humano, mediante monografías de procesos de producción (Text regulating the importation into Chile of livestock products, for human consumption or use, with production process monographs)</t>
  </si>
  <si>
    <t>This new draft Resolution establishes the guidelines and information to be included in monographs, the documents describing the industrial process of a product containing ingredients of animal origin, intended for human consumption or use, in order to assess the risk and the possibility of entry into the country.</t>
  </si>
  <si>
    <t>Products of animal origin for human consumption or use</t>
  </si>
  <si>
    <d:r xmlns:d="http://schemas.openxmlformats.org/spreadsheetml/2006/main">
      <d:rPr>
        <d:sz val="11"/>
        <d:rFont val="Calibri"/>
      </d:rPr>
      <d:t xml:space="preserve">https://members.wto.org/crnattachments/2024/SPS/CHL/24_04682_00_s.pdf</d:t>
    </d:r>
  </si>
  <si>
    <t>Notice of Administration Order of Saudi Food and Drug Authority Ref. No. 28515 dated 1 June 2023 entitled "Temporary ban on importation of poultry meat, eggs and their products originating from Pyrénées-Atlantiques in France"</t>
  </si>
  <si>
    <t>The Saudi Food and Drug Authority (SFDA) issued the Notice of Administration Order of Saudi Food and Drug Authority Ref. No. 28515 dated 1 June 2023 entitled “Temporary ban on importation of poultry meat, eggs and their products originating from Pyrénées-Atlantiques in France”. The Saudi Food and Drug Authority (SFDA) has subsequently issued the Notice Administrative Order No. 2128 dated 18 July 2024, lifting the temporary ban on the importation of poultry meat, eggs and their products originating from Pyrénées-Atlantiques in France, based on the WOAH report dated 14 August 2024, indicating that Pyrénées-Atlantiques in France is free of Highly Pathogenic Avian Influenza Virus (HPAI).</t>
  </si>
  <si>
    <t>0407 - Birds' eggs, in shell, fresh, preserved or cooked; 0207 - Meat and edible offal of fowls of the species Gallus domesticus, ducks, geese, turkeys and guinea fowls, fresh, chilled or frozen; 0207 - Meat and edible offal of fowls of the species Gallus domesticus, ducks, geese, turkeys and guinea fowls, fresh, chilled or frozen; 0407 - Birds' eggs, in shell, fresh, preserved or cooked</t>
  </si>
  <si>
    <t>Pest- or Disease- free Regions / Regionalization; Animal diseases; Zoonoses; Animal health; Avian Influenza; Withdrawal of the measure; Pest- or Disease- free Regions / Regionalization; Zoonoses; Avian Influenza; Animal health; Animal diseases</t>
  </si>
  <si>
    <d:r xmlns:d="http://schemas.openxmlformats.org/spreadsheetml/2006/main">
      <d:rPr>
        <d:sz val="11"/>
        <d:rFont val="Calibri"/>
      </d:rPr>
      <d:t xml:space="preserve">https://members.wto.org/crnattachments/2024/SPS/SAU/24_04677_00_x.pdf</d:t>
    </d:r>
  </si>
  <si>
    <t>Resolución exenta número 4.210, de 2024 - Deroga Resolución No 1.459 exenta de 2023, que suspende la importación a Chile de aves y productos de origen aviar desde Argentina (Exempt Resolution No. 4.210 of 2024 repealing Exempt Resolution No. 1.459 of 2023 suspending the importation into Chile of birds and products of avian origin from Argentina)</t>
  </si>
  <si>
    <t>The notified Exempt Resolution repeals Exempt Resolution No. 1.459 of 2023 of the National Directorate suspending the importation into Chile of wild or ornamental and exhibition birds, pet birds, fresh poultry meat and eggs for consumption from Argentina owing to the presence of highly pathogenic avian influenza. This measure entered into force from the date of publication in the Official Journal of Chile on 4 July 2024. Further details can be found in the document attached to this notification.</t>
  </si>
  <si>
    <t>Wild or ornamental and exhibition birds and pet birds; meat of poultry, fresh, chilled or frozen; eggs for human consumption; and meat products processed without heat treatment</t>
  </si>
  <si>
    <t>0207 - Meat and edible offal of fowls of the species Gallus domesticus, ducks, geese, turkeys and guinea fowls, fresh, chilled or frozen; 01063 - - Birds :; 0105 - Live poultry, "fowls of the species Gallus domesticus, ducks, geese, turkeys and guinea fowls"; 0407 - Birds' eggs, in shell, fresh, preserved or cooked</t>
  </si>
  <si>
    <t>Zoonoses; Animal health; Avian Influenza; Animal diseases</t>
  </si>
  <si>
    <t>Revision to Emergency Notification (SPS)</t>
  </si>
  <si>
    <d:r xmlns:d="http://schemas.openxmlformats.org/spreadsheetml/2006/main">
      <d:rPr>
        <d:sz val="11"/>
        <d:rFont val="Calibri"/>
      </d:rPr>
      <d:t xml:space="preserve">https://members.wto.org/crnattachments/2024/SPS/CHL/24_04673_00_s.pdf</d:t>
    </d:r>
  </si>
  <si>
    <t>Notice of Administration Order of Saudi Food and Drug Authority Ref. No. 27385 dated 22 May 2023 entitled "Temporary ban on importation of poultry meat, eggs and their products originating from Landes and Gers in France"</t>
  </si>
  <si>
    <t xml:space="preserve">The Saudi Food and Drug Authority (SFDA) issued the Notice of Administration Order of Saudi Food and Drug Authority Ref. No. 27385 dated 22 May 2023 entitled “Temporary ban on importation of poultry meat, eggs and their products originating from Landes and Gers in France”. The Saudi Food and Drug Authority (SFDA) has subsequently issued the Notice Administrative Order No. 2128 dated 18 July 2024, lifting the temporary ban on the importation of poultry meat, eggs and their products originating from Landes and Gers in France, based on the WOAH report dated 14 August 2024, indicating that Landes and Gers in France are free of Highly Pathogenic Avian Influenza Virus (HPAI)._x000D_
</t>
  </si>
  <si>
    <t>0207 - Meat and edible offal of fowls of the species Gallus domesticus, ducks, geese, turkeys and guinea fowls, fresh, chilled or frozen; 0407 - Birds' eggs, in shell, fresh, preserved or cooked; 0207 - Meat and edible offal of fowls of the species Gallus domesticus, ducks, geese, turkeys and guinea fowls, fresh, chilled or frozen; 0407 - Birds' eggs, in shell, fresh, preserved or cooked</t>
  </si>
  <si>
    <t>Animal health; Avian Influenza; Zoonoses; Animal diseases; Pest- or Disease- free Regions / Regionalization; Withdrawal of the measure; Pest- or Disease- free Regions / Regionalization; Zoonoses; Avian Influenza; Animal health; Animal diseases</t>
  </si>
  <si>
    <d:r xmlns:d="http://schemas.openxmlformats.org/spreadsheetml/2006/main">
      <d:rPr>
        <d:sz val="11"/>
        <d:rFont val="Calibri"/>
      </d:rPr>
      <d:t xml:space="preserve">https://members.wto.org/crnattachments/2024/SPS/SAU/24_04676_00_x.pdf</d:t>
    </d:r>
  </si>
  <si>
    <t>Proyecto de Decreto que incorpora al ordenamiento jurídico nacional la Resolución MERCOSUR/GMC No 16/23 "Requisitos Zoosanitarios de los Estados Partes para la importación de aves cautivas (silvestres u ornamentales) (Derogación Resolución GMC No 19/20)" (Draft Decree incorporating into national legislation Resolution MERCOSUR/GMC No. 16/23, "Animal health requirements of the States Parties for the importation of captive birds (wild or ornamental) (Repeal of GMC Resolution No. 19/20)")</t>
  </si>
  <si>
    <t>The notified draft Decree updates the animal health requirements for the importation of wild or ornamental captive birds, approved by GMC Resolution No. 16/23, "Animal health requirements of the MERCOSUR States Parties for the importation of captive birds (wild or ornamental)", and the model for the international veterinary certificate. The draft Decree also repeals Decree No. 174/022, which incorporated into national legislation GMC Resolution No. 19/20.</t>
  </si>
  <si>
    <t>Captive birds (wild or ornamental)</t>
  </si>
  <si>
    <t>010639 - Live birds (excl. birds of prey, psittaciformes, parrots, parrakeets, macaws, cockatoos, ostriches and emus)</t>
  </si>
  <si>
    <d:r xmlns:d="http://schemas.openxmlformats.org/spreadsheetml/2006/main">
      <d:rPr>
        <d:sz val="11"/>
        <d:rFont val="Calibri"/>
      </d:rPr>
      <d:t xml:space="preserve">https://members.wto.org/crnattachments/2024/SPS/URY/24_04686_00_s.pdf
https://members.wto.org/crnattachments/2024/SPS/URY/24_04686_01_s.pdf</d:t>
    </d:r>
  </si>
  <si>
    <t>Proyecto de Decreto que incorpora al ordenamiento jurídico nacional la Resolución MERCOSUR/GMC No 17/23 "Requisitos Zoosanitarios de los Estados Partes para la importación de aves en calidad de animales de compañía (Derogación Resolución GMC No 20/20)" (Draft Decree incorporating into national legislation Resolution MERCOSUR/GMC No. 17/23, "Animal health requirements of the States parties for the importation of birds as pets (Repeal of GMC Resolution No. 20/20)")</t>
  </si>
  <si>
    <t>The notified draft Decree updates the animal health requirements for the importation of birds as pets, approved by GMC Resolution No. 17/23, "Animal health requirements of the MERCOSUR States parties for the importation of birds as pets", and the model for the international veterinary certificate. The draft Decree also repeals Decree No. 149/022, which incorporated into national legislation GMC Resolution No. 20/20.</t>
  </si>
  <si>
    <t>Pet birds</t>
  </si>
  <si>
    <d:r xmlns:d="http://schemas.openxmlformats.org/spreadsheetml/2006/main">
      <d:rPr>
        <d:sz val="11"/>
        <d:rFont val="Calibri"/>
      </d:rPr>
      <d:t xml:space="preserve">https://members.wto.org/crnattachments/2024/SPS/URY/24_04689_00_s.pdf
https://members.wto.org/crnattachments/2024/SPS/URY/24_04689_01_s.pdf</d:t>
    </d:r>
  </si>
  <si>
    <t>Draft Commission Regulation amending Annexes II and III to Regulation (EC) No 396/2005 of the European Parliament and of the Council as regards maximum residue levels for dithiocarbamates in or on certain products (Text with EEA relevance)</t>
  </si>
  <si>
    <t>The proposed draft Regulation updates the MRLs for substances belonging to the group of dithiocarbamates (such as maneb, mancozeb, metiram, propineb, thiram and ziram). They degrade to carbon disulfide (CS2), which also occur naturally in plants as phytogenic sulfur compounds and with the existing methodologies in place cannot be distinguished from the presence of residues resulting from the use of dithiocarbamates. The draft Regulation is also proposing a new residue definition for monitoring the presence on these substances.  </t>
  </si>
  <si>
    <t>Cereals (HS codes: 1001, 1002, 1003, 1004, 1005, 1006, 1007, 1008), foodstuffs of animal origin (HS codes: 0201, 0202, 0203, 0204, 0205, 0206, 0207, 0208, 0209, 0210) and certain products of plant origin, including fruit and vegetables</t>
  </si>
  <si>
    <t>1008 - Buckwheat, millet, canary seed and other cereals (excl. wheat and meslin, rye, barley, oats, maize, rice and grain sorghum);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0210 - Meat and edible offal, salted, in brine, dried or smoked; edible flours and meals of meat or meat offal; 1001 - Wheat and meslin; 1002 - Rye; 1003 - Barley; 1004 - Oats; 1005 - Maize or corn; 1006 - Rice; 1007 - Grain sorghum; 0202 - Meat of bovine animals, frozen; 0201 - Meat of bovine animals, fresh or chilled</t>
  </si>
  <si>
    <d:r xmlns:d="http://schemas.openxmlformats.org/spreadsheetml/2006/main">
      <d:rPr>
        <d:sz val="11"/>
        <d:rFont val="Calibri"/>
      </d:rPr>
      <d:t xml:space="preserve">https://members.wto.org/crnattachments/2024/SPS/EEC/24_04690_00_e.pdf
https://members.wto.org/crnattachments/2024/SPS/EEC/24_04690_01_e.pdf
https://members.wto.org/crnattachments/2024/SPS/EEC/24_04690_02_e.pdf</d:t>
    </d:r>
  </si>
  <si>
    <t xml:space="preserve">In this document, the Federal Communications Commission (Commission or FCC) seeks comment on additional items to further the efficient and timely rollout of the IoT Labeling program. These items include the format of Cybersecurity Label Administrator (CLA) and Lead Administrator applications; filing fees for CLA applications; criteria for selecting CLAs and the Lead Administrator; CLA sharing of Lead Administrator expenses; Lead Administrator neutrality; processes for withdrawal of CLA and Lead Administrator approvals; recognition of CyberLABs outside the United States; complaint processes; confidentiality and security requirements; and the IoT registry.Comments are due on or before 19 August 2024; reply comments are due on or before 3 September 2024. Comments on section II.B are due on or before 19 August 2024.89 Federal Register (FR) 58312, Title 47 Code of Federal Regulations (CFR) Part 8_x000D_
https://www.govinfo.gov/content/pkg/FR-2024-07-18/html/2024-15379.htm_x000D_
https://www.govinfo.gov/content/pkg/FR-2024-07-18/pdf/2024-15379.pdf_x000D_
https://docs.fcc.gov/public/attachments/DA-24-617A1.pdf_x000D_
This current and previous actions notified under the symbol G/TBT/N/USA/2041 are identified by PS Docket No. 23-239. The Docket Folder is available on the FCC's website at https://www.fcc.gov/edocs/search-results?t=quick&amp;dockets=23-239 and provides access to associated documents. Filings on the proceeding are accessible at https://www.fcc.gov/ecfs/search/search-filings/results?q=(proceedings.name:(%2223-239%22)). Documents are also accessible from the FCC's Electronic Document Management System (EDOCS) by searching the PS Docket Number (https://www.fcc.gov/edocs/search-results?t=quick&amp;dockets=23-239). Comments are due on or before 19 August 2024; reply comments are due on or before 3 September 2024. WTO Members and their stakeholders are asked to submit comments to the USA TBT Enquiry Point by or before 4pmEastern Time on 3 September 2024. Comments received by the USA TBT Enquiry Point from WTO Members and their stakeholders will be shared with the FCC and will also be submitted to the FCC Electronic Comment Filing System (ECFS) if received within the comment period.</t>
  </si>
  <si>
    <d:r xmlns:d="http://schemas.openxmlformats.org/spreadsheetml/2006/main">
      <d:rPr>
        <d:sz val="11"/>
        <d:rFont val="Calibri"/>
      </d:rPr>
      <d:t xml:space="preserve">https://members.wto.org/crnattachments/2024/TBT/USA/modification/24_04663_00_e.pdf
https://members.wto.org/crnattachments/2024/TBT/USA/modification/24_04663_01_e.pdf</d:t>
    </d:r>
  </si>
  <si>
    <t>Draft Commission Regulation amending Regulation (EU) 2017/2400 as regards the determination of the CO2 emissions and fuel consumption of medium and heavy lorries and heavy buses and the inclusion of vehicles running on hydrogen and other new technologies and amending Regulation (EU) 582/2011 as regards the applicable rules on the determination of CO2 emissions and fuel consumption in order to obtain an extension to an EU type-approval </t>
  </si>
  <si>
    <t>Commission Regulation (EU) 2017/2400 of 12 December 2017 on the determination of CO2 emissions and fuel consumption of heavy-duty vehicles introduces a common method to objectively compare the performance of heavy-duty vehicles placed on the Union market as regards their CO2 emissions and fuel consumption. It lays down provisions for the certification of components with an impact on CO2 emissions and fuel consumption of heavy-duty vehicles, introduces a simulation tool for the purpose of determining and declaring CO2 emissions and fuel consumption of those vehicles.The aim of the proposed amendment is to take new technologies into account, such as vehicles running on hydrogen (both fuel cells and internal combustion engines technologies), vehicles propelled by several powertrains operating independently (e.g. electric vehicles with electric machines on different axles) and vehicles capable of recharging while in motion. The proposed amendment also aims to introduce tightened test conditions for the determination of air drag performances, to introduce a new simulation method to determine air drag performances and to improve and clarify various existing provisions where relevant.At the same time, the proposed amendment aims to amend Regulation (EU) 582/2011 to make the necessary clarifications triggered by the abovementioned changes with regard to the procedure to be followed for the determination of CO2 emissions and fuel consumption values of certain medium lorries.</t>
  </si>
  <si>
    <t>Heavy duty vehicles (ICS 13.040.50), Commercial vehicles (ICS 43.080)</t>
  </si>
  <si>
    <t>13.040.50 - Transport exhaust emissions; 43.080 - Commercial vehicles</t>
  </si>
  <si>
    <t>Protection of the environment (TBT); Quality requirements (TBT)</t>
  </si>
  <si>
    <d:r xmlns:d="http://schemas.openxmlformats.org/spreadsheetml/2006/main">
      <d:rPr>
        <d:sz val="11"/>
        <d:rFont val="Calibri"/>
      </d:rPr>
      <d:t xml:space="preserve">https://members.wto.org/crnattachments/2024/TBT/EEC/24_04680_00_e.pdf
https://members.wto.org/crnattachments/2024/TBT/EEC/24_04680_01_e.pdf</d:t>
    </d:r>
  </si>
  <si>
    <t>Modification to the List of permitted preservatives to extend the use of natamycin</t>
  </si>
  <si>
    <t>Health Canada's Food Directorate completed a premarket safety assessment of a food additive submission seeking authorization for the use of natamycin in unstandardized processed cheese products, standardized cream cheeses, unstandardized cream cheese products, ranch-flavoured dressings for salads and ranch-flavoured dips.The results of the premarket assessment support the safety and efficacy of natamycin for use as a preservative in unstandardized processed cheese products, standardized cream cheeses, unstandardized cream cheese products, ranch-flavoured dressings for salads and ranch-flavoured dips. Consequently, Health Canada has extended the use of natamycin as described in the information document above by modifying the List of permitted preservatives effective 30 May 2024The purpose of this communication is to publicly announce the Department's intention in this regard and to provide the appropriate contact information for those wishing to submit an inquiry or new scientific information relevant to the safety of this food additive.</t>
  </si>
  <si>
    <t>Natamycin(ICS code: 67.220.20)</t>
  </si>
  <si>
    <t>DKS 364: 2024 Woven apparel for blouses, shirts and dresses – Specification</t>
  </si>
  <si>
    <t>This Standard specifies requirements, sampling, and test methods for woven apparel used for making blouses, shirts, and dresses. This standard is not applicable to suiting fabrics for women and men apparel, kitenge, denim, cotton drills, khanga, uniform fabrics, jacket fabrics, pyjama, interlinings and lining fabric.</t>
  </si>
  <si>
    <t>Products of the textile industry (ICS code(s): 59.080)</t>
  </si>
  <si>
    <t>59.080 - Products of the textile industry</t>
  </si>
  <si>
    <t>Consumer information, labelling (TBT); Prevention of deceptive practices and consumer protection (TBT); Quality requirements (TBT); Reducing trade barriers and facilitating trade (TBT); Cost saving and productivity enhancement (TBT)</t>
  </si>
  <si>
    <d:r xmlns:d="http://schemas.openxmlformats.org/spreadsheetml/2006/main">
      <d:rPr>
        <d:sz val="11"/>
        <d:rFont val="Calibri"/>
      </d:rPr>
      <d:t xml:space="preserve">https://members.wto.org/crnattachments/2024/TBT/KEN/24_04660_00_e.pdf
Kenya Bureau of Standards
WTO/TBT National Enquiry Point
P.O. Box: 54974-00200
 Nairobi
 Kenya
Telephone: + (254) 020 605490
 605506/6948258
Fax: + (254) 020 609660/609665
E-mail: info@kebs.org; Website: http://www.kebs.org
</d:t>
    </d:r>
  </si>
  <si>
    <t>DRS 2068: 2024 Textiles – Lining fabric – Specification</t>
  </si>
  <si>
    <t>This Committee Draft African Standard specifies requirements, test methods and sampling of lining fabrics used in the manufacture of clothing.This African standard does not cover non-woven lining or interlining fabrics </t>
  </si>
  <si>
    <t>Textile fibres in general (ICS code(s): 59.060.01)</t>
  </si>
  <si>
    <t>59.060.01 - Textile fibres in general</t>
  </si>
  <si>
    <d:r xmlns:d="http://schemas.openxmlformats.org/spreadsheetml/2006/main">
      <d:rPr>
        <d:sz val="11"/>
        <d:rFont val="Calibri"/>
      </d:rPr>
      <d:t xml:space="preserve">https://members.wto.org/crnattachments/2024/TBT/KEN/24_04661_00_e.pdf
Kenya Bureau of Standards
WTO/TBT National Enquiry Point
P.O. Box: 54974-00200
 Nairobi
 Kenya
Telephone: + (254) 020 605490
 605506/6948258
Fax: + (254) 020 609660/609665
E-mail: info@kebs.org; Website: http://www.kebs.org
</d:t>
    </d:r>
  </si>
  <si>
    <t>DKS 2455: 2024 Food safety — General standard</t>
  </si>
  <si>
    <t>67.020 - Processes in the food industry; 67.040 - Food products in general; 07.100.01 - Microbiology in general</t>
  </si>
  <si>
    <t>Prevention of deceptive practices and consumer protection (TBT); Protection of human health or safety (TBT); Quality requirements (TBT); Reducing trade barriers and facilitating trade (TBT); Cost saving and productivity enhancement (TBT)</t>
  </si>
  <si>
    <d:r xmlns:d="http://schemas.openxmlformats.org/spreadsheetml/2006/main">
      <d:rPr>
        <d:sz val="11"/>
        <d:rFont val="Calibri"/>
      </d:rPr>
      <d:t xml:space="preserve">https://members.wto.org/crnattachments/2024/TBT/KEN/24_04658_00_e.pdf</d:t>
    </d:r>
  </si>
  <si>
    <t>DKS 3012: 2024 Cap and hat – Specification</t>
  </si>
  <si>
    <t>This Kenya Standard specifies the requirements test methods and sampling for hat and cap.The hats and caps include but not limited to security caps, scouts cap, berets, beanie hats, fedora hats, safari hats, fishing hats, visor cap and Irish cap.</t>
  </si>
  <si>
    <t>Headgear. Clothing accessories. Fastening of clothing (ICS code(s): 61.040)</t>
  </si>
  <si>
    <t>65 - HEADGEAR AND PARTS THEREOF</t>
  </si>
  <si>
    <t>61.040 - Headgear. Clothing accessories. Fastening of clothing</t>
  </si>
  <si>
    <d:r xmlns:d="http://schemas.openxmlformats.org/spreadsheetml/2006/main">
      <d:rPr>
        <d:sz val="11"/>
        <d:rFont val="Calibri"/>
      </d:rPr>
      <d:t xml:space="preserve">https://members.wto.org/crnattachments/2024/TBT/KEN/24_04659_00_e.pdf</d:t>
    </d:r>
  </si>
  <si>
    <t>DKS 2294: 2024 Aluminium Foil for Household Use— Specification </t>
  </si>
  <si>
    <t>This Kenya Standard specifies requirements for plain aluminium foil for household use and catering purposes. </t>
  </si>
  <si>
    <t>Aluminium products (ICS code(s): 77.150.10)</t>
  </si>
  <si>
    <t>77.150.10 - Aluminium products</t>
  </si>
  <si>
    <d:r xmlns:d="http://schemas.openxmlformats.org/spreadsheetml/2006/main">
      <d:rPr>
        <d:sz val="11"/>
        <d:rFont val="Calibri"/>
      </d:rPr>
      <d:t xml:space="preserve">https://members.wto.org/crnattachments/2024/TBT/KEN/24_04657_00_e.pdf</d:t>
    </d:r>
  </si>
  <si>
    <t>Ministerial Decision number 786 of 1 July 2024 (Belgium)</t>
  </si>
  <si>
    <t>Decision to ban farmed salmon (fresh, chilled, frozen and processed) of all types and salmon oil from Liège, Belgium due to Infectious hematopoietic necrosis virus (IHNV).</t>
  </si>
  <si>
    <t>Fish and crustaceans, molluscs and other aquatic invertebrates (HS code(s): 03); Fats and oils and their fractions of fish or marine mammals, whether or not refined (excl. chemically modified) (HS code(s): 1504); Extracts and juices of meat, fish or crustaceans, molluscs or other aquatic invertebrates. (HS code(s): 1603); Prepared or preserved fish; caviar and caviar substitutes prepared from fish eggs (HS code(s): 1604); Meat, meat products and other animal produce (ICS code(s): 67.120)</t>
  </si>
  <si>
    <t>1604 - Prepared or preserved fish; caviar and caviar substitutes prepared from fish eggs; 1603 - Extracts and juices of meat, fish or crustaceans, molluscs or other aquatic invertebrates.; 1504 - Fats and oils and their fractions of fish or marine mammals, whether or not refined (excl. chemically modified); 03 - FISH AND CRUSTACEANS, MOLLUSCS AND OTHER AQUATIC INVERTEBRATES</t>
  </si>
  <si>
    <t>Belgium (Liège)</t>
  </si>
  <si>
    <d:r xmlns:d="http://schemas.openxmlformats.org/spreadsheetml/2006/main">
      <d:rPr>
        <d:sz val="11"/>
        <d:rFont val="Calibri"/>
      </d:rPr>
      <d:t xml:space="preserve">https://members.wto.org/crnattachments/2024/SPS/KWT/24_04603_00_x.pdf</d:t>
    </d:r>
  </si>
  <si>
    <t>Proposal to amend Schedule 20 of the revised Australia New Zealand Food Standards Code (9 July 2024)</t>
  </si>
  <si>
    <t>This Proposal seeks to amend the Australia New Zealand Food Standards Code to align the following maximum residue limits (MRLs) for various agricultural and veterinary chemicals so that they are consistent with other national regulations relating to the safe and effective use of agricultural and veterinary chemicals:Cyazofamid, 2,4-D, Emamectin, Flonicamid, Fluopyram, Fluxapyroxad, Isocycloseram, Mesotrione, Methoxyfenozide, Metolachlor, Metribuzin and Quinoxyfen in specified plant commodities;Mefentrifluconazole in specified animal commodities.The proposed increase to the 2,4-D Walnuts MRLfrom 0.05 mg/kg to 0.2 mg/kg is considered to be trade facilitating noting that Codex, the European Union and the United States of America have established 2,4‑D MRLs/tolerances for Tree nuts at 0.2 mg/kg. Therefore, this specific MRL change will progress without the normal consultation period.</t>
  </si>
  <si>
    <d:r xmlns:d="http://schemas.openxmlformats.org/spreadsheetml/2006/main">
      <d:rPr>
        <d:sz val="11"/>
        <d:rFont val="Calibri"/>
      </d:rPr>
      <d:t xml:space="preserve">https://www.apvma.gov.au/sites/default/files/gazette/food-standards/Gazette%20No%2014%2C%20Tuesday%209%20July%202024%20-%20Proposal%20to%20amend%20schedule%2020%20amendment.pdf</d:t>
    </d:r>
  </si>
  <si>
    <t>Draft Decree amending and supplementing certain articles of governmental Decree No. 107/2016/ND-CP dated July 1, 2016 regulating the business requirements of conformity assessment services and governmental Decree No. 154/2018/ND-CP dated November 9, 2018 amending, supplementing and repealing certain regulations on investment and business conditions in sectors under management of Ministry of Science and Technology and certain regulations on specialized inspections </t>
  </si>
  <si>
    <t xml:space="preserve">This draft Decree provides the amendments, supplements, repeals of certain articles and replacements of certain phrases and forms of governmental Decree No. 107/2016/ND-CP dated July 1, 2016 regulating the business requirements of conformity assessment services and governmental Decree No. 154/2018/ND-CP dated November 9, 2018 amending, supplementing and repealing certain regulations on investment and business conditions in sectors under management of Ministry of Science and Technology and certain regulations on specialized inspections;_x000D_
This draft Decree updates the regulations on the conditions for providing conformity assessment services in Vietnam such as organizing the conformity assessment for products, goods, production processes; providing suitable services and environment in compliance to applicable published standards or corresponding technical regulations; and organizing accreditation for conformity assessment organizations._x000D_
This draft Decree applies to organizations and enterprises providing conformity assessment services (such as testing, verification, inspection, certification, and accreditation of conformity assessment organizations), State management agencies and relevant organizations and individuals in the territory of Vietnam._x000D_
This draft Decree notes STAMEQ’s new official name “Commission for Standards, Quality and Metrology of Viet Nam”, as the replacement for “Directorate for Standards, Quality and Metrology”._x000D_
</t>
  </si>
  <si>
    <t>Conformity assessment procedures</t>
  </si>
  <si>
    <t>03.120.20 - Product and company certification. Conformity assessment</t>
  </si>
  <si>
    <d:r xmlns:d="http://schemas.openxmlformats.org/spreadsheetml/2006/main">
      <d:rPr>
        <d:sz val="11"/>
        <d:rFont val="Calibri"/>
      </d:rPr>
      <d:t xml:space="preserve">https://members.wto.org/crnattachments/2024/TBT/VNM/24_04649_00_x.pdf</d:t>
    </d:r>
  </si>
  <si>
    <t>Belgium</t>
  </si>
  <si>
    <t>Royal Decree amending the Royal Decree of 28 October 2016 on the manufacture and placing on the market of electronic cigarettes</t>
  </si>
  <si>
    <t>E-cigarettes</t>
  </si>
  <si>
    <t>24 - TOBACCO AND MANUFACTURED TOBACCO SUBSTITUTES; PRODUCTS, WHETHER OR NOT CONTAINING NICOTINE, INTENDED FOR INHALATION WITHOUT COMBUSTION; OTHER NICOTINE CONTAINING PRODUCTS INTENDED FOR THE INTAKE OF NICOTINE INTO THE HUMAN BODY; 24 - TOBACCO AND MANUFACTURED TOBACCO SUBSTITUTES; PRODUCTS, WHETHER OR NOT CONTAINING NICOTINE, INTENDED FOR INHALATION WITHOUT COMBUSTION; OTHER NICOTINE CONTAINING PRODUCTS INTENDED FOR THE INTAKE OF NICOTINE INTO THE HUMAN BODY</t>
  </si>
  <si>
    <t xml:space="preserve">Amendments to Rules for Direct Broadcast Satellite, Satellite 
Services, and 17 GHz; Updates to Forms 312 and 312-R for the 
International Communications Filing System; Corrections to 17 GHz 
Report and Order</t>
  </si>
  <si>
    <t xml:space="preserve">In this document, the Federal Communications Commission (Commission) announces that the Office of Management and Budget (OMB) has approved, for a period of three years, the information collections associated with the rules adopted in three rulemakings and with updates to the Form 312, including Schedules A, B, and S, and Form 312-R. Specifically, rules were adopted in: a Report and Order, FCC 19-93, in IB Docket No. 06-160 (DBS Licensing Report and Order); a Report and Order, FCC 20-159, in IB Docket No. 18-314 (Satellite Services Report and Order); and a Report and Order, FCC 22-63, in IB Docket Nos. 20-330 and 22-273, (17 GHz Report and Order). Each of those orders stated that the Commission would publish a document in the Federal Register announcing the effective date of those rules which were delayed indefinitely. The FCC is announcing the effective date of those rules. In addition, this document is also correcting non-substantive typographical errors in the 17 GHz Report and Order. Finally, this document also announces the updates to FCC Form 312, including Schedules A, B, and S, and FCC Form 312-R.The following are effective 16 August 2024:    (1) The amendment to 47 CFR 25.136(h), published at 86 FR 11880 on 1 March 2021;    (2) The amendments to 47 CFR 25.108(c)(5) and (c)(6), 25.114(a)(3), and 25.140(b)(6), published at 86 FR 49484 on 3 September 2021;   (3) The amendments to 47 CFR 25.114(d)(7), (d)(15), and (d)(18), 25.115(e), (g) and (k), 25.117(d)(2)(v), 25.140(a)(2) and (a)(3), (b), and (d), 25.203 and 25.264, published at 87 FR 72388 on 25 November 2022;    (4) The corrections to Sec. Sec.  24.140 and 25.264;    (5) The revisions to Form 312 (including Schedules A, B, and C) and Form 312R, published at 88 FR 21424.89 Federal Register (FR) 58072, Title 47 Code of Federal Regulations (CFR) Part 25_x000D_
https://www.govinfo.gov/content/pkg/FR-2024-07-17/html/2024-15465.htm_x000D_
https://www.govinfo.gov/content/pkg/FR-2024-07-17/pdf/2024-15465.pdfhttps://docs.fcc.gov/public/attachments/DA-24-271A1.pdfThis final rule; announcement of effective date and correcting amendments and previous actions notified under the symbol G/TBT/N/USA/1698 are identified by IB Docket No. 20-330FCC 22-63. The Docket Folders are available on the FCC's Electronic Document Management System (EDOCS) by searching on the IB Docket No.  Comments posted on Docket 20-330 are accessible via the FCC’s Electronic Comment Filing System (ECFS) here</t>
  </si>
  <si>
    <t>49.020 - Aircraft and space vehicles in general; 49.020 - Aircraft and space vehicles in general; 49.140 - Space systems and operations; 49.140 - Space systems and operations</t>
  </si>
  <si>
    <d:r xmlns:d="http://schemas.openxmlformats.org/spreadsheetml/2006/main">
      <d:rPr>
        <d:sz val="11"/>
        <d:rFont val="Calibri"/>
      </d:rPr>
      <d:t xml:space="preserve">https://members.wto.org/crnattachments/2024/TBT/USA/final_measure/24_04647_00_e.pdf
https://members.wto.org/crnattachments/2024/TBT/USA/final_measure/24_04647_01_e.pdf</d:t>
    </d:r>
  </si>
  <si>
    <t>Proposed Maximum Residue Limit: Metsulfuron-methyl (PMRL2024-15)</t>
  </si>
  <si>
    <t>The objective of the notified document PMRL2024-15 is to consult on the listed maximum residue limits (MRLs) for metsulfuron-methyl that have been proposed by Health Canada’s Pest Management Regulatory Agency (PMRA).MRL (ppm)1 Raw Agricultural Commodity (RAC) and/or Processed Commodity0.1            Rye, triticale1 ppm = parts per million</t>
  </si>
  <si>
    <t>Pesticide metsulfuron-methyl in or on rye and triticale (ICS codes: 65.020, 65.100, 67.040, 67.060)</t>
  </si>
  <si>
    <d:r xmlns:d="http://schemas.openxmlformats.org/spreadsheetml/2006/main">
      <d:rPr>
        <d:sz val="11"/>
        <d:rFont val="Calibri"/>
      </d:rPr>
      <d:t xml:space="preserve">
</d:t>
    </d:r>
  </si>
  <si>
    <t>Resolution 887, 11 July 2024</t>
  </si>
  <si>
    <t xml:space="preserve">This resolution contains provisions on good practices for
distribution, storage,
transport and dispensing of gases
medicinal.</t>
  </si>
  <si>
    <t>Health care technology (ICS code(s): 11)</t>
  </si>
  <si>
    <t>11 - Health care technology</t>
  </si>
  <si>
    <d:r xmlns:d="http://schemas.openxmlformats.org/spreadsheetml/2006/main">
      <d:rPr>
        <d:sz val="11"/>
        <d:rFont val="Calibri"/>
      </d:rPr>
      <d:t xml:space="preserve">https://members.wto.org/crnattachments/2024/TBT/BRA/24_04644_00_x.pdf</d:t>
    </d:r>
  </si>
  <si>
    <t>Resolution governing the importation, for consumption, of fresh persimmons (Diospyros kaki) originating in China Costa Rica hereby advises that the phytosanitary measures notified in document G/SPS/N/CRI/270 have been adopted under Resolution No. 056-2024-CV-ARP-SFE of the State Phytosanitary Service, Standards and Regulations Department, Pest Risk Analysis Unit, establishing phytosanitary requirements for the importation of fresh persimmons (Diospyros kaki) for consumption originating in China. The draft Resolution was circulated on 17 May 2024. The date of entry into force will be six months after signature of the final Resolution. https://members.wto.org/crnattachments/2024/SPS/CRI/24_04640_00_s.pdf</t>
  </si>
  <si>
    <t>Caquis frescos (código(s) del SA: 081070) para consumo</t>
  </si>
  <si>
    <t>081070 - Fresh persimmons; 081070 - Fresh persimmons</t>
  </si>
  <si>
    <d:r xmlns:d="http://schemas.openxmlformats.org/spreadsheetml/2006/main">
      <d:rPr>
        <d:sz val="11"/>
        <d:rFont val="Calibri"/>
      </d:rPr>
      <d:t xml:space="preserve">https://members.wto.org/crnattachments/2024/SPS/CRI/24_04640_00_s.pdf</d:t>
    </d:r>
  </si>
  <si>
    <t>Revision of the Regulation for Enforcement of the Act on the Evaluation of Chemical Substances and Regulation of Their Manufacture, etc. Related to the Ministry of Economy, Trade and Industry</t>
  </si>
  <si>
    <t>Based on Article 2, paragraph 3, of the Act on the Regulation of Manufacture and Evaluation of Chemical Substances (hereinafter referred to as “the Act”), NPE will be designated as a class II specified chemical substance.Based on Article 35, paragraph 1,2, and 6 of the Act, a person who manufactures or imports NPE shall notify the planned quantity of NPE to be manufactured or imported and the quantity of NPE manufactured or imported in the preceding fiscal year. The chemical structure of NPE can vary and therefore, for substance identification additional information such as CAS RN will be needed. For this objective, the notification forms under theRegulation for Enforcement of the Act on the Evaluation of Chemical Substances and Regulation of Their Manufacture, etc. Related to the Ministry of Economy, Trade and Industry will be revised.</t>
  </si>
  <si>
    <t>Poly (oxyethylene)=alkyl phenyl ether (where the alkyl consists of 9 carbon atoms, hereinafter referred to as “NPE”.)</t>
  </si>
  <si>
    <t>Protection of animal or plant life or health (TBT); Protection of the environment (TBT)</t>
  </si>
  <si>
    <d:r xmlns:d="http://schemas.openxmlformats.org/spreadsheetml/2006/main">
      <d:rPr>
        <d:sz val="11"/>
        <d:rFont val="Calibri"/>
      </d:rPr>
      <d:t xml:space="preserve">https://members.wto.org/crnattachments/2024/TBT/JPN/24_04654_00_e.pdf</d:t>
    </d:r>
  </si>
  <si>
    <t>Resolution governing the importation, for consumption, of fresh lychees (Litchi chinensis) originating in China Costa Rica hereby advises that the phytosanitary measures notified in document G/SPS/N/CRI/271 have been adopted under Resolution No. 057-2024-CV-ARP-SFE of the State Phytosanitary Service, Standards and Regulations Department, Pest Risk Analysis Unit, establishing phytosanitary requirements for the importation of fresh lychees (Litchi chinensis) for consumption originating in China. The draft Resolution was circulated on 17 May 2024. The date of entry into force will be six months after signature of the final Resolution. https://members.wto.org/crnattachments/2024/SPS/CRI/24_04641_00_s.pdf</t>
  </si>
  <si>
    <t>Litchis (código(s) del SA: 081090), (Litchi chinensis), frutos para consumo fresco</t>
  </si>
  <si>
    <t>Territory protection; Plant health; Adoption/publication/entry into force of reg.; Territory protection; Plant health</t>
  </si>
  <si>
    <d:r xmlns:d="http://schemas.openxmlformats.org/spreadsheetml/2006/main">
      <d:rPr>
        <d:sz val="11"/>
        <d:rFont val="Calibri"/>
      </d:rPr>
      <d:t xml:space="preserve">https://members.wto.org/crnattachments/2024/SPS/CRI/24_04641_00_s.pdf</d:t>
    </d:r>
  </si>
  <si>
    <t>Safer Products Restrictions and Reporting</t>
  </si>
  <si>
    <t>Join us for an informational webinar as we share highlights from the cycle 1.5 Regulatory Determinations Report to the Legislature, a report regulating the use of PFAS in certain products. During this webinar we’ll also discuss the transition to rulemaking for cycle 1.5, ask for your feedback, and answer your questions Cycle 1.5 phases 3 and 4–Regulatory determinations and rulemakingWednesday 14 August 20249:30 a.m. to 11:30 a.m.Pacific TimePlease register in advance for the Zoom meeting online.Presentation materials will be available before the webinar.Please join us for additional webinars in September 2024Cycle 1 – Developing compliance resourcesThursday 12 September 2024, 10:00 a.m. and 5:00 p.m.Pacific TimeWe’ll provide an overview and answer frequently asked questions about the regulations in Chapter 173-337 RCW including the exemption application process. There will be an opportunity to ask questions that will inform the compliance support resources we develop.Cycle 1.5 phase 4 – RulemakingWednesday 25 September 20249:30 a.m.Pacific TimeWe’ll provide an update on rule development and ask for your feedback and suggestions. There will be opportunities to share input throughout the rulemaking process.Safer Products for Washington state, “Stakeholder webpage”https://www.ezview.wa.gov/site/alias__1962/37555/safer_products_for_washington.aspxThe Washington Departments of Ecology and Health will use the web page to share information and draft documents as they implement Chapter 70A.350 Revised Code of Washington (formerly Chapter 70.365 RCW). Their implementation program for the law is called Safer Products for WashingtonSubscribe to the Safer Products for Washington email list to receive updates and invitations for public comment.</t>
  </si>
  <si>
    <t>Toxic chemicals in consumer products; Environmental protection (ICS code(s): 13.020); Domestic safety (ICS code(s): 13.120); Products of the textile industry (ICS code(s): 59.080); Leather products (ICS code(s): 59.140.35); Production in the chemical industry (ICS code(s): 71.020); Products of the chemical industry (ICS code(s): 71.100); Furniture (ICS code(s): 97.140); Non-textile floor coverings (ICS code(s): 97.150)</t>
  </si>
  <si>
    <t>13.020 - Environmental protection; 13.020 - Environmental protection; 13.120 - Domestic safety; 13.120 - Domestic safety; 59.080 - Products of the textile industry; 59.080 - Products of the textile industry; 59.140.35 - Leather products; 59.140.35 - Leather products; 71.020 - Production in the chemical industry; 71.020 - Production in the chemical industry; 71.100 - Products of the chemical industry; 71.100 - Products of the chemical industry; 97.140 - Furniture; 97.140 - Furniture; 97.150 - Non-textile floor coverings; 97.150 - Non-textile floor coverings</t>
  </si>
  <si>
    <t>Draft National technical regulation on Specific Absorption Rates for Mobile Phone</t>
  </si>
  <si>
    <t>TITLE: The Draft National technical regulation on Specific Absorption Rates for hand-held and body-worn wireless communication devices (24 pages, in Vietnamese)AGENCY:Ministry of Information and CommunicationsNo. 18 Nguyen Du St., Hai Ba Trung Dist., Ha Noi, Viet NamTel.: (84-24) 38226580Fax: (84-24) 39437328Email: dxbinh@mic.gov.vn          ngochai@mic.gov.vnWebsite: http://www.mic.gov.vnSUMMARY: The Draft National technical regulation on Specific Absorption Rates for Mobile Phone is subject to the following amendments:+ Tittle: has been changed to “National technical regulation on Specific Absorption Rates for hand-held and body-worn wireless communication devices”;+ Scope: addition of DECT equipment (mobile handset) (HS code 8517.11.00), Laptop and portable computer (HS code 8471.30.20), Tablet (HS Code 8471.30.90).+ Requirement of SAR limit (clause 2);+ Management methods (certification, declaration of conformity);+ Effective dates: for Mobile phones (01 July 2026), and for other equipment (01 July 2027).</t>
  </si>
  <si>
    <t xml:space="preserve">- Mobile phone using E-UTRA (4G) technology and may be integrated with W-CDMA FDD/GSM/5G mobile communication terminal; 2,4 GHz/5 GHz wideband data transmission equipment; Short Range Device (HS code: 8517.13.00; 8517.14.00);_x000D_
- Mobile phone using 5G technology and may be integrated with E-UTRA (4G) technology; 2,4 GHz/5 GHz wideband data transmission equipment; Short Range Device (HS code: 8517.13.00; 8517.14.00).</t>
  </si>
  <si>
    <t>85171 - - Telephone sets, including smartphones and other telephones for cellular networks or for other wireless networks :; 85171 - - Telephone sets, including smartphones and other telephones for cellular networks or for other wireless networks :</t>
  </si>
  <si>
    <t>33.050.10 - Telephone equipment; 33.050.10 - Telephone equipment</t>
  </si>
  <si>
    <d:r xmlns:d="http://schemas.openxmlformats.org/spreadsheetml/2006/main">
      <d:rPr>
        <d:sz val="11"/>
        <d:rFont val="Calibri"/>
      </d:rPr>
      <d:t xml:space="preserve">https://members.wto.org/crnattachments/2024/TBT/VNM/modification/24_04650_00_x.pdf
https://mic.gov.vn/du-thao-quy-chuan-ky-thuat-quoc-gia-de-lay-y-kien-gop-y-19724040913414944.htm 
</d:t>
    </d:r>
  </si>
  <si>
    <t>American Society of Mechanical Engineers Code Cases and Update Frequency</t>
  </si>
  <si>
    <t xml:space="preserve">The U.S. Nuclear Regulatory Commission (NRC) is amending its regulations to incorporate by reference revisions of three regulatory guides to approve new, revised, and reaffirmed code cases published by the American Society of Mechanical Engineers. This action allows nuclear power plant licensees and applicants for construction permits, operating licenses, combined licenses, standard design certifications, standard design approvals, and manufacturing licenses to use the code cases listed in these regulatory guides as voluntary alternatives to engineering standards for the construction, inservice inspection, and inservice testing of nuclear power plant components. These engineering standards are set forth in the American Society of Mechanical Engineers Boiler and Pressure Vessel Code and American Society of Mechanical Engineers Operation and Maintenance Code,  which are currently incorporated by reference into the NRC's regulations. Further, this final rule announces the availability of a related regulatory guide, not incorporated by reference into the NRC's regulations, that lists code cases that the NRC has not approved for use. Finally, this rulemaking provides more flexibility to licensees by expanding the code of record interval from ten years to two consecutive inservice testing and inservice inspection intervals.This final rule is effective on 16 August 2024. The incorporation by reference of certain material listed in this rule is approved by the Director of the Federal Register as of 16 August 2024. The incorporation by reference of certain other material listed in the rule was approved by the Director of the Federal Register as of 4 April 2022, and 28 November 2022.89 Federal Register (FR) 58039, Title 10 Code of Federal Regulations (CFR) Part 50_x000D_
https://www.govinfo.gov/content/pkg/FR-2024-07-17/html/2024-15288.htm_x000D_
https://www.govinfo.gov/content/pkg/FR-2024-07-17/pdf/2024-15288.pdfThis final rule is identified by Docket Number NRC-2018-0291. The Docket Folder is available on Regulations.gov at https://www.regulations.gov/docket/NRC-2018-0291/document and provides access to primary and supporting documents (including the referenced regulatory guides)  as well as comments received. Documents are also accessible from Regulations.gov by searching the Docket Number. </t>
  </si>
  <si>
    <t>13.020 - Environmental protection; 13.020 - Environmental protection; 27.120 - Nuclear energy engineering; 27.120 - Nuclear energy engineering</t>
  </si>
  <si>
    <d:r xmlns:d="http://schemas.openxmlformats.org/spreadsheetml/2006/main">
      <d:rPr>
        <d:sz val="11"/>
        <d:rFont val="Calibri"/>
      </d:rPr>
      <d:t xml:space="preserve">https://members.wto.org/crnattachments/2024/TBT/USA/final_measure/24_04648_00_e.pdf</d:t>
    </d:r>
  </si>
  <si>
    <t>Proposed Maximum Residue Limit: Dimethenamid (PMRL2024-14)</t>
  </si>
  <si>
    <t>The objective of the notified document PMRL2024-14 is to consult on the listed maximum residue limit (MRL) for dimethenamidthat has been proposed by Health Canada’s Pest Management Regulatory Agency (PMRA).MRL (ppm)1 Raw Agricultural Commodity (RAC) and/or Processed Commodity0.01           Shallot bulbs1 ppm = parts per million</t>
  </si>
  <si>
    <t>Pesticide dimethenamid in or on shallot bulbs (ICS codes: 65.020, 65.100, 67.040, 67.080)</t>
  </si>
  <si>
    <t> Draft Ministry of Public Health Notification (MOPH), No. ... B.E. ..., entitled “Import requirements and conditions for food with risk from Bovine Spongiform Encephalopathy”</t>
  </si>
  <si>
    <t>For consumer protection, the Ministry of Public Health (MOPH) is proposing to revise the MOPH Notification concerning import requirements and conditions for food with risk from Bovine Spongiform Encephalopathy. The main elements of the draft notification are as follows:1. The MOPH Notification (No. 377) B.E. 2559 (2016) entitled "Re: Designation of Requirements and Conditions for Import Food with Risk from Bovine Spongiform Encephalopathy", dated 11 July 2016, is repealed and replaced by this (Draft) MOPH Notification;2. It classifies the BSE risk status of the bovine population of a country, zone or compartment into three categories according to the WOAH criteria, as follows:-     Category 1: Negligible BSE risk Country;-     Category 2: Controlled BSE risk Country; and-    Category 3: Undetermined BSE risk Country;The list of the countries or regions prescribed in the list annexed to this (Draft) MOPH Notification;3. It describes the definitions of "Meat", "Fresh Meat" and "Meat products" the same as described in the MOPH Notification (No. 377) and adds the definition of “Import checkpoint”;4. It revises the import requirements for fresh meat and meat products for human consumption into Thailand according to the WOAH criteria.This notification shall come into force on the following date after its publication in the Government Gazette.</t>
  </si>
  <si>
    <t>1502 - Fats of bovine animals, sheep or goats, other than those of heading 15.03.; 0506 - Bones and horn-cores and their powder and waste, unworked, defatted, simply prepared, treated with acid or degelatinised (excl. cut to shape); 04 - DAIRY PRODUCE; BIRDS' EGGS; NATURAL HONEY; EDIBLE PRODUCTS OF ANIMAL ORIGIN, NOT ELSEWHERE SPECIFIED OR INCLUDED; 0202 - Meat of bovine animals, frozen; 0201 - Meat of bovine animals, fresh or chilled</t>
  </si>
  <si>
    <t>Animal diseases; Food safety; Human health; Bovine Spongiform Encephalopathy (BSE); Animal health</t>
  </si>
  <si>
    <d:r xmlns:d="http://schemas.openxmlformats.org/spreadsheetml/2006/main">
      <d:rPr>
        <d:sz val="11"/>
        <d:rFont val="Calibri"/>
      </d:rPr>
      <d:t xml:space="preserve">https://members.wto.org/crnattachments/2024/SPS/THA/24_04643_00_e.pdf
https://members.wto.org/crnattachments/2024/SPS/THA/24_04643_00_x.pdf</d:t>
    </d:r>
  </si>
  <si>
    <t>Resolución para regular la importación de frutos para consumo fresco de Pera (Pyrus communis) originarios de China (Resolution governing the importation of fresh pears (Pyrus communis) for consumption from China) Costa Rica hereby advises that the phytosanitary measures notified in document G/SPS/N/CRI/269 have been adopted under Resolution No. 055-2024-CV-ARP-SFE of the State Phytosanitary Service, Standards and Regulations Department, Pest Risk Analysis Unit, establishing phytosanitary requirements for the importation of fresh pears (Pyrus communis) for consumption from China. The draft Resolution was circulated on 17 May 2024. The date of entry into force will be six months after signature of the final Resolution. https://members.wto.org/crnattachments/2024/SPS/CRI/24_04639_00_s.pdf</t>
  </si>
  <si>
    <t>Peras frescas (código(s) del SA: 080830) para consumo</t>
  </si>
  <si>
    <d:r xmlns:d="http://schemas.openxmlformats.org/spreadsheetml/2006/main">
      <d:rPr>
        <d:sz val="11"/>
        <d:rFont val="Calibri"/>
      </d:rPr>
      <d:t xml:space="preserve">https://members.wto.org/crnattachments/2024/SPS/CRI/24_04639_00_s.pdf</d:t>
    </d:r>
  </si>
  <si>
    <t>Resolution governing the importation, for consumption, of fresh pomegranates (Punica granatum) originating in China Costa Rica hereby advises that the phytosanitary measures notified in document G/SPS/N/CRI/272 have been adopted under Resolution No. 058-2024-CV-ARP-SFE of the State Phytosanitary Service, Standards and Regulations Department, Pest Risk Analysis Unit, establishing phytosanitary requirements for the importation of fresh pomegranates (Punica granatum) for consumption originating in China. The draft Resolution was circulated on 17 May 2024. The date of entry into force will be six months after signature of the final Resolution. https://members.wto.org/crnattachments/2024/SPS/CRI/24_04642_00_s.pdf</t>
  </si>
  <si>
    <t>Frutos para consumo fresco de granada (Punica granatum</t>
  </si>
  <si>
    <t>Territory protection; Plant health; Adoption/publication/entry into force of reg.; Plant health; Territory protection</t>
  </si>
  <si>
    <d:r xmlns:d="http://schemas.openxmlformats.org/spreadsheetml/2006/main">
      <d:rPr>
        <d:sz val="11"/>
        <d:rFont val="Calibri"/>
      </d:rPr>
      <d:t xml:space="preserve">https://members.wto.org/crnattachments/2024/SPS/CRI/24_04642_00_s.pdf</d:t>
    </d:r>
  </si>
  <si>
    <t>Order of Minister of Agriculture and Rural Development  No. 113, dated 15 March 2022 "On the approval of the regulation "For protective measures against plant pests""</t>
  </si>
  <si>
    <t>The purpose of this regulation is to prevent the entry and spread of quarantine pests and non-quarantine pests in the territory of Albania, to ensure the best possible protection of plants, plant products and other objects that are the object of phytosanitary control.</t>
  </si>
  <si>
    <t>Plants, plant products and other objects</t>
  </si>
  <si>
    <t>08 - EDIBLE FRUIT AND NUTS; PEEL OF CITRUS FRUIT OR MELONS; 07 - EDIBLE VEGETABLES AND CERTAIN ROOTS AND TUBERS; 06 - LIVE TREES AND OTHER PLANTS; BULBS, ROOTS AND THE LIKE; CUT FLOWERS AND ORNAMENTAL FOLIAGE</t>
  </si>
  <si>
    <t>Plant diseases; Plant health; Pests; Territory protection</t>
  </si>
  <si>
    <d:r xmlns:d="http://schemas.openxmlformats.org/spreadsheetml/2006/main">
      <d:rPr>
        <d:sz val="11"/>
        <d:rFont val="Calibri"/>
      </d:rPr>
      <d:t xml:space="preserve">https://members.wto.org/crnattachments/2024/SPS/ALB/24_04599_00_x.pdf
https://qbz.gov.al/eli/urdher/2022/03/15/113/45ed498d-c4db-4cb5-8400-02f3c0b059ed</d:t>
    </d:r>
  </si>
  <si>
    <t>Partial amendment of Regulations for Radio Equipment</t>
  </si>
  <si>
    <t>Ministry of Internal Affairs and Communications (MIC) will establish the exposure limit value of absorbed power density from the radio equipment operating in close proximity to the human body (frequency over 6GHz), in accordance with ICNIRP Guidelines 2020 “Guidelines for Limiting Exposure to Time-Varying Electric, Magnetic and Electromagnetic Fields (100 kHz to 300 GHz) ” and “C95.1-2019 - IEEE Standard for Safety Levels with Respect to Human Exposure to Electric, Magnetic, and Electromagnetic Fields, 0 Hz to 300 GHz”.In addition, MIC will establish the method of measuring absorbed power density from radio equipment in accordance with “IEC PAS 63446 Conversion method of specific absorption rate to absorbed power density for the assessment of human exposure to radio frequency electromagnetic fields from wireless devices in close proximity to the head and body - Frequency range of 6 GHz to 10 GHz.”</t>
  </si>
  <si>
    <t>Wireless devices operating in close proximity to the human body</t>
  </si>
  <si>
    <t>33.060.20 - Receiving and transmitting equipment</t>
  </si>
  <si>
    <d:r xmlns:d="http://schemas.openxmlformats.org/spreadsheetml/2006/main">
      <d:rPr>
        <d:sz val="11"/>
        <d:rFont val="Calibri"/>
      </d:rPr>
      <d:t xml:space="preserve">https://members.wto.org/crnattachments/2024/TBT/JPN/24_04628_00_e.pdf</d:t>
    </d:r>
  </si>
  <si>
    <t>Proyecto de Resolución Conjunta sobre modificación del Capítulo XVII del Código Alimentario Argentino_ Inclusión de bebida adicionada y suplemento hidroelectrolítico (Draft Joint Resolution on amendments to Chapter XVII of the Argentine Food Code, Inclusion of enhanced beverages and hydroelectrolytic supplements) (7 pages, in Spanish)</t>
  </si>
  <si>
    <t>The notified draft text provides for an amendment to Article 1363 of the Argentine Food Code (CAA) in respect of the list of products that are not allowed to be fortified, and incorporates, into the CAA, Articles 1360, 1361 and 1362 on the inclusion of beverages with added vitamins and/or minerals, powder for the preparation of enhanced beverages and hydroelectrolytic supplements, respectively.</t>
  </si>
  <si>
    <t>Fortified foods, Beverages with added vitamins and/or minerals, Hydroelectrolytic supplements</t>
  </si>
  <si>
    <t>67.160 - Beverages</t>
  </si>
  <si>
    <t>Consumer information, labelling (TBT); Prevention of deceptive practices and consumer protection (TBT); Quality requirements (TBT)</t>
  </si>
  <si>
    <d:r xmlns:d="http://schemas.openxmlformats.org/spreadsheetml/2006/main">
      <d:rPr>
        <d:sz val="11"/>
        <d:rFont val="Calibri"/>
      </d:rPr>
      <d:t xml:space="preserve">https://members.wto.org/crnattachments/2024/TBT/ARG/24_04626_00_s.pdf</d:t>
    </d:r>
  </si>
  <si>
    <t>Draft Notification of the Ministry of Industry on Prohibiting Factories from Using HCFC-141b (Dichlorofluoromethane) in the Production Process of Polyols for Foam Production or in the Production Process of All Types of Foam, B.E. 25xx(202x) </t>
  </si>
  <si>
    <t>This Draft Notification is in compliance with the obligations under the Montreal Protocol, which Thailand has joined as a member party, to control the substance HCFC-144b (Dichlorofluoromethane) in the production process of polyols for foam production or in the production process of all types of foam.</t>
  </si>
  <si>
    <t>Hazardous Substances (2903.73.00)</t>
  </si>
  <si>
    <t>290373 - Dichlorofluoroethanes</t>
  </si>
  <si>
    <t>71.080.20 - Halogenated hydrocarbons</t>
  </si>
  <si>
    <d:r xmlns:d="http://schemas.openxmlformats.org/spreadsheetml/2006/main">
      <d:rPr>
        <d:sz val="11"/>
        <d:rFont val="Calibri"/>
      </d:rPr>
      <d:t xml:space="preserve">https://members.wto.org/crnattachments/2024/TBT/THA/24_04630_00_x.pdf</d:t>
    </d:r>
  </si>
  <si>
    <t>Ministerial Decisions number 784 and 785 of 1 July 2024 (United states of America)</t>
  </si>
  <si>
    <t>Decisions to ban/ban lift poultry meat (fresh, chilled, frozen and processed) of all types from certain counties in the United States of America due to an outbreak of highly pathogenic avian influenza.</t>
  </si>
  <si>
    <t>Animal diseases; Food safety; Animal health; Human health; Avian Influenza; Zoonoses; Pest- or Disease- free Regions / Regionalization</t>
  </si>
  <si>
    <t>United States of America (Cherokee, Iowa - Lyon, Minesota - Sonoma, California - San Francisco, California - Dallas, Missouri - Marion, Oregon - Charles Mix, South Dakota - Spink, South Dakota - Mitchel, Kansas)</t>
  </si>
  <si>
    <d:r xmlns:d="http://schemas.openxmlformats.org/spreadsheetml/2006/main">
      <d:rPr>
        <d:sz val="11"/>
        <d:rFont val="Calibri"/>
      </d:rPr>
      <d:t xml:space="preserve">https://members.wto.org/crnattachments/2024/SPS/KWT/24_04601_00_x.pdf
https://members.wto.org/crnattachments/2024/SPS/KWT/24_04601_01_x.pdf</d:t>
    </d:r>
  </si>
  <si>
    <t>Establishment of the labelling information with respect to measures, etc., for preventing environmental pollution attributable to the relevant class II specified chemical substances, to be indicated on containers, packaging, or invoices for NPE or the products specified in Article 9 of the Order for Enforcement of the Act on the Regulation of Manufacture and Evaluation of Chemical Substances which use NPE</t>
  </si>
  <si>
    <t>Based on Article 37, paragraph 1 of the Act on the Regulation of Manufacture and Evaluation of Chemical Substances, the following is hereby established as the labelling information with respect to measures, etc., for preventing environmental pollution attributable to NPE, etc. for business operators handling NPE, etc.- That it is NPE or that NPE is used in the product- That NPE is a class II specified chemical substance- The concentration of NPE- Precautions (e.g., periodic inspections to prevent leakage)- The name of the person (or business name in the case of a company) providing the labelling information and their address</t>
  </si>
  <si>
    <t>Poly (oxyethylene)=alkyl phenyl ether (where the alkyl consists of 9 carbon atoms, hereinafter referred to as “NPE”) and NPE-added water-based cleaning agents</t>
  </si>
  <si>
    <d:r xmlns:d="http://schemas.openxmlformats.org/spreadsheetml/2006/main">
      <d:rPr>
        <d:sz val="11"/>
        <d:rFont val="Calibri"/>
      </d:rPr>
      <d:t xml:space="preserve">https://members.wto.org/crnattachments/2024/TBT/JPN/24_04615_00_e.pdf</d:t>
    </d:r>
  </si>
  <si>
    <t>Thai Agricultural Standard entitled "Code of Practice on Inspection and Receiving of Durians for Collecting house and Packing House".</t>
  </si>
  <si>
    <t>The standard entitled " Code of Practice on Inspection and Receiving of Durians for Collecting house and Packing House " has been previously notified by the National Bureau of Agricultural Commodity and Food Standards (ACFS), Ministry of Agriculture and Cooperatives in G/TBT/N/THA/695 dated 10 February 2023. The standard has been published in the Royal Gazette dated 10 July 2024.Date of entry into force: 10 July 2025 (One year after its publication in the Royal Gazette)Thailand TBT Enquiry Point for Agricultural Commodity and FoodNational Bureau of Agricultural Commodity and Food Standards (ACFS)50 Phaholyothin Road, LadyaoChatuchak, Bangkok 10900ThailandTel: +(662) 561 4204Fax: +(662) 561 4034E-mail: spsthailand@gmail.comWebsites: http://www.acfs.go.thhttps://spsthailand.acfs.go.th/th/main </t>
  </si>
  <si>
    <t>Freshdurian (Durio spp(HS Code 0810.60) (ICS Code: 67.080.10)</t>
  </si>
  <si>
    <t>081060 - Fresh durians; 081060 - Fresh durians</t>
  </si>
  <si>
    <d:r xmlns:d="http://schemas.openxmlformats.org/spreadsheetml/2006/main">
      <d:rPr>
        <d:sz val="11"/>
        <d:rFont val="Calibri"/>
      </d:rPr>
      <d:t xml:space="preserve">https://members.wto.org/crnattachments/2024/TBT/THA/final_measure/24_04622_00_e.pdf
https://members.wto.org/crnattachments/2024/TBT/THA/final_measure/24_04622_00_x.pdf</d:t>
    </d:r>
  </si>
  <si>
    <t>Regulations Amending the Food and Drug Regulations and the Medical Devices Regulations (Recalls, Establishment Licences and Finished Product Testing) </t>
  </si>
  <si>
    <t>The Proposed Regulations were notified to the WTO under G/TBT/N/CAN/694 (dated 19 April 2023).The objectives of these amendments are to strengthen Health Canada’s oversight of therapeutic products sold in Canada and to introduce additional risk-based measures and modern, flexible regulatory tools. These changes will strengthen Health Canada’s ability to provide efficient, effective and agile oversight of drugs and medical devices in a manner that is better aligned with international best practices.The regulations include targeted amendments to the Food and Drug Regulations (FDR) and Medical Devices Regulations (MDR). The amendments will: (i) clarify industry obligations when conducting recalls of therapeutic products; (ii) improve international alignment for voluntary recall requirements in the MDR; (iii) replace the outdated list of foreign regulatory authorities in the table in C.01A.019 in the FDR; (iv) offer conditional exemptions to industry from performing aspects of finished product testing for certain novel and complex biologics and radiopharmaceuticals in the FDR; and (v) modernize establishment licence application requirements and introduce authorities for the Minister to impose terms and conditions on an establishment licence in the MDR to enable targeted compliance and enforcement actions.</t>
  </si>
  <si>
    <t>Drugs and medical devices (ICS codes: 11.120, 11.040)</t>
  </si>
  <si>
    <t>11.040 - Medical equipment; 11.040 - Medical equipment; 11.120 - Pharmaceutics; 11.120 - Pharmaceutics</t>
  </si>
  <si>
    <d:r xmlns:d="http://schemas.openxmlformats.org/spreadsheetml/2006/main">
      <d:rPr>
        <d:sz val="11"/>
        <d:rFont val="Calibri"/>
      </d:rPr>
      <d:t xml:space="preserve">https://canadagazette.gc.ca/rp-pr/p2/2024/2024-07-03/html/sor-dors136-fra.html 
https://canadagazette.gc.ca/rp-pr/p2/2024/2024-07-03/html/sor-dors136-eng.html  
https://canadagazette.gc.ca/rp-pr/p2/2024/2024-07-03/pdf/g2-15814.pdf#page=327
</d:t>
    </d:r>
  </si>
  <si>
    <t>Proposal for a Regulation of the European Parliament and of the Council on European Union geographical indications for wine, spirit drinks and agricultural products, and quality schemes for agricultural products, amending Regulations (EU) No 1308/2013, (EU) 2017/1001 and (EU) 2019/787 and repealing Regulation (EU) No 1151/2012 (COM/2022/134 final) </t>
  </si>
  <si>
    <t>Adopted measure: The Regulation provides for a unitary and exhaustive system laying down the rules to be applied within the European Union territory as regards protected designations of origin and protected geographical indications for wine, protected designations of origin and protected geographical indications for agricultural products, including foodstuffs, and geographical indications for spirit drinks. It contains in particular provisions in respect of registration, amendment and cancellation of geographical indications, rules on protection and provisions on controls and enforcement of geographical indications. The Regulation also clarifies the provisions related to already existing schemes of Traditional speciality guaranteed (TSG) aiming at traditional aspects of products without being linked to a specific geographical area as well as Optional quality terms (OQT) referring to specific horizontal characteristics of products, farming methods or processing attributes which apply in specific areas (e.g., ‘mountain product’). </t>
  </si>
  <si>
    <t>Wine products, Agricultural products, Spirit drinks</t>
  </si>
  <si>
    <t>67.040 - Food products in general; 67.040 - Food products in general; 67.160.10 - Alcoholic beverages; 67.160.10 - Alcoholic beverages</t>
  </si>
  <si>
    <d:r xmlns:d="http://schemas.openxmlformats.org/spreadsheetml/2006/main">
      <d:rPr>
        <d:sz val="11"/>
        <d:rFont val="Calibri"/>
      </d:rPr>
      <d:t xml:space="preserve">https://members.wto.org/crnattachments/2024/TBT/EEC/final_measure/24_04620_00_e.pdf
https://members.wto.org/crnattachments/2024/TBT/EEC/modification/24_04620_01_e.pdf
Regulation - EU - 2024/1143 - EN - EUR-Lex (europa.eu)
Regulation (EU) 2024/1143 of the European Parliament and of the Council of 11 April 2024 on geographical indications for wine
 spirit drinks and agricultural products
 as well as traditional specialities guaranteed and optional quality terms for agricultural products
 amending Regulations (EU) No 1308/2013
 (EU) 2019/787 and (EU) 2019/1753 and repealing Regulation (EU) No 1151/2012
OJ L
 2024/1143
 23.4.2024
 ELI: http://data.europa.eu/eli/reg/2024/1143/oj (BG
 ES
 CS
 DA
 DE
 ET
 EL
 EN
 FR
 GA
 HR
 IT
 LV
 LT
 HU
 MT
 NL
 PL
 PT
 RO
 SK
 SL
 FI
 SV)
The text is also available on the EU-TBT website: http://ec.europa.eu/growth/tools-databases/tbt/en/
</d:t>
    </d:r>
  </si>
  <si>
    <t>Federal Motor Vehicle Safety Standards; Seating Systems</t>
  </si>
  <si>
    <t xml:space="preserve">Advance notice of proposed rulemaking - Through this document, NHTSA fulfills the statutory mandate in 
section 24204 of the Infrastructure Investment and Jobs Act (IIJA), 
which directed the Secretary of Transportation to issue an advanced 
notice of proposed rulemaking to update Federal Motor Vehicle Safety 
Standard No. 207, “Seating systems.” NHTSA also partially grants 
rulemaking petitions submitted by Kenneth J. Saczalski of Environmental 
Research and Safety Technologists (ERST) and by Alan Cantor of ARCCA, 
Inc. (ARCCA), which sought changes to the Federal Motor Vehicle Safety 
Standards (FMVSS) petitioners stated would improve the safety of 
children during rear-end crashes. NHTSA denies a petition from the 
Center for Auto Safety (CAS), which sought to require additional 
warnings instructing adults regarding which rear seating position to 
place children.</t>
  </si>
  <si>
    <t>Motor vehicle seating systems; Road vehicle systems (ICS code(s): 43.040)</t>
  </si>
  <si>
    <d:r xmlns:d="http://schemas.openxmlformats.org/spreadsheetml/2006/main">
      <d:rPr>
        <d:sz val="11"/>
        <d:rFont val="Calibri"/>
      </d:rPr>
      <d:t xml:space="preserve">https://members.wto.org/crnattachments/2024/TBT/USA/24_04623_00_e.pdf</d:t>
    </d:r>
  </si>
  <si>
    <t>Thai Agricultural Standard entitled “Code of Practice on Inspection and Receiving of Durians for Collecting House and Packing House”</t>
  </si>
  <si>
    <t>The standard entitled "Code of Practice on Inspection and Receiving of Durians for Collecting House and Packing House" has been previously notified by the National Bureau of Agricultural Commodity and Food Standards (ACFS), Ministry of Agriculture and Cooperatives in G/SPS/N/THA/615 dated 9 February 2023. The standard has been published in the Royal Gazette dated 10 July 2024.Date of entry into force: 10 July 2025 (one year after its publication in the Royal Gazette)</t>
  </si>
  <si>
    <t>Freshdurian (Durio spp) (HS code 0810.60) (ICS code: 67.080.10)</t>
  </si>
  <si>
    <d:r xmlns:d="http://schemas.openxmlformats.org/spreadsheetml/2006/main">
      <d:rPr>
        <d:sz val="11"/>
        <d:rFont val="Calibri"/>
      </d:rPr>
      <d:t xml:space="preserve">https://members.wto.org/crnattachments/2024/SPS/THA/24_04621_00_e.pdf
https://members.wto.org/crnattachments/2024/SPS/THA/24_04621_00_x.pdf</d:t>
    </d:r>
  </si>
  <si>
    <t>Modifica Resolución No 655 del 24 de enero de 2024, que establece requisitos fitosanitarios de importación para material vegetal de propagación como cultivo de tejido in vitro, de géneros y especies frutales, hortalizas, cultivos industriales, ornamentales y forestales, procedentes de todo origen (Amendment to Resolution No. 655 of 24 January 2024 concerning phytosanitary requirements for the importation of plant propagation material in the form of in vitro tissue cultures of fruit genera and species, vegetables, industrial crops, ornamental species and forest species, of any origin)</t>
  </si>
  <si>
    <t xml:space="preserve">The notified document amends Resolution No. 655 of 2024 establishing requirements for the importation into Chile of plant material as in vitro tissue cultures, as follows: The following is added at the bottom of the table under section 5.3.1 FRUIT GENERA/SPECIES: GENUS OR ADDITIONAL DECLARATION QUARANTINE TYPE  SPECIES Sambucus nigra The plants derive from mother plants In vitro and  that were inspected and tested ex vitro quarantine  (diagnostic method to be indicated)  at the optimal time for detecting  pests and found to be free from  blueberry scorch virus, cherry leaf roll virus,  cherry rasp leaf virus, tobacco necrosis  virus, tomato black ring virus, tomato  bushy stunt virus and Xylella fastidiosa. Monstera spp. No additional declarations Quarantine  not required Further details can be found in the document attached to this notification. G/SPS/N/CHL/796 - 2 -</t>
  </si>
  <si>
    <t>Plant propagation material in the form of in vitro tissue cultures</t>
  </si>
  <si>
    <d:r xmlns:d="http://schemas.openxmlformats.org/spreadsheetml/2006/main">
      <d:rPr>
        <d:sz val="11"/>
        <d:rFont val="Calibri"/>
      </d:rPr>
      <d:t xml:space="preserve">https://members.wto.org/crnattachments/2024/SPS/CHL/24_04612_00_s.pdf
https://members.wto.org/crnattachments/2024/SPS/CHL/24_04612_01_s.pdf</d:t>
    </d:r>
  </si>
  <si>
    <t>Law 15/2022 “On some additions and changes of Law No. 105/2016 “On plant protection”" as amended</t>
  </si>
  <si>
    <t>Law 105/2016 "On Plant Protection" has two main pillars, plant health and plant protection products. The amendments regulate only issues related to plant health. This law makes some legal adjustments, making it possible to fully or partially align the EU Aquis in this area through the by-laws in its implementation. Based also on the fact that since 14 December 2019, new EU legislation in this field came into force, with substantial changes from the previous legislation. On the other hand, during the practice of implementing the law, it was found that the law needs some legal adjustments related to the lack of space to issue by-laws, adjustments which become urgent after the changes that the European legislation underwent at the end of 2019. The approval of this law makes possible for the first time the registration of professional operators who have activity within the territory of Albania in relation to plants, plant products and other objects. It makes it possible to complete the legal framework for the implementation of the Plant Passport.</t>
  </si>
  <si>
    <t>Plants, plant products and other objects, plant protection products</t>
  </si>
  <si>
    <d:r xmlns:d="http://schemas.openxmlformats.org/spreadsheetml/2006/main">
      <d:rPr>
        <d:sz val="11"/>
        <d:rFont val="Calibri"/>
      </d:rPr>
      <d:t xml:space="preserve">https://members.wto.org/crnattachments/2024/SPS/ALB/24_04610_00_x.pdf
https://qbz.gov.al/eli/ligj/2022/02/03/15/a19ce837-5ba2-47f3-83ae-7e7e043289c4;q=ligji%20105%2F2016</d:t>
    </d:r>
  </si>
  <si>
    <t>Modification to the List of permitted sweeteners to extend the use of sucralose</t>
  </si>
  <si>
    <t>Health Canada's Food and Nutrition Directorate completed a premarket safety assessment of a food additive submission seeking authorization for the use of sucralose in liquid protein preparations represented for use under medical supervision and by individuals 18 years of age or older.The results of the premarket assessment support the safety of sucralose for its requested use. Consequently, Health Canada has extended the use of sucralose as described in the information document by modifying the List of permitted sweeteners effective 11 July 2024.The purpose of the information document is to publicly announce the Department's decision in this regard and to provide the appropriate contact information for those wishing to submit an inquiry or new scientific information relevant to the safety of this food additive.</t>
  </si>
  <si>
    <t>Sucralose (ICS code: 67.220.20)</t>
  </si>
  <si>
    <t>293214 - Sucralose</t>
  </si>
  <si>
    <t>Ministerial Decision number 785 of 1 July 2024 (Mexico)</t>
  </si>
  <si>
    <t>Decision to ban poultry meat (fresh, chilled, frozen and processed) of all types from Jalisco, Mexico due to an outbreak of highly pathogenic avian influenza.</t>
  </si>
  <si>
    <t>Mexico (Jalisco)</t>
  </si>
  <si>
    <d:r xmlns:d="http://schemas.openxmlformats.org/spreadsheetml/2006/main">
      <d:rPr>
        <d:sz val="11"/>
        <d:rFont val="Calibri"/>
      </d:rPr>
      <d:t xml:space="preserve">https://members.wto.org/crnattachments/2024/SPS/KWT/24_04602_00_x.pdf</d:t>
    </d:r>
  </si>
  <si>
    <t>Resolución No. 00007748 del 10 de julio de 2024 "Por la cual se establecen medidas preventivas de emergencia por la presencia del virus del síndrome de las manchas blancas en camarón y demás crustáceos crudos, sus productos y subproductos de riesgo provenientes de Ecuador con destino Colombia" (Resolution No. 00007748 of 10 July 2024 establishing emergency preventive measures owing to the presence of white spot syndrome virus in at-risk shrimp and other raw crustaceans and their products and by-products imported from Ecuador to Colombia)</t>
  </si>
  <si>
    <t>The notified Resolution suspends the issuance of animal health documents for the importation from Ecuador of at-risk shrimp and other raw crustaceans and their products and by-products capable of transmitting white spot syndrome virus (WSSV). The suspension will remain in place until a risk assessment has been conducted to determine whether to establish alternative or permanent measures or to amend or lift the measures adopted in the notified Resolution.</t>
  </si>
  <si>
    <t>0306 - Crustaceans, whether in shell or not, live, fresh, chilled, frozen, dried, salted or in brine, even smoked, incl. crustaceans in shell cooked by steaming or by boiling in water</t>
  </si>
  <si>
    <t>Animal health; Territory protection; Animal diseases</t>
  </si>
  <si>
    <d:r xmlns:d="http://schemas.openxmlformats.org/spreadsheetml/2006/main">
      <d:rPr>
        <d:sz val="11"/>
        <d:rFont val="Calibri"/>
      </d:rPr>
      <d:t xml:space="preserve">https://members.wto.org/crnattachments/2024/SPS/COL/24_04618_00_s.pdf
https://www.ica.gov.co/getattachment/5e9a902b-f814-46c7-84bb-a13eae93f217/2024R00007748.aspx</d:t>
    </d:r>
  </si>
  <si>
    <t>Public Consultation 36, 22 June 2023</t>
  </si>
  <si>
    <t>Public Consultation to update the technical requirements for assessing the conformity of Cellular Mobile Telephone and Access Terminal Station (ETA) to restrict the certification and approval of new equipment that only operates with 3G technology or lower, for use in Personal Mobile Service (SMP) networks).Comments can be made at:https://apps.anatel.gov.br/ParticipaAnatel/Home.aspxSelecting Public consultation No 36</t>
  </si>
  <si>
    <t xml:space="preserve">Quality requirements (TBT); Not specified  (TBT)</t>
  </si>
  <si>
    <d:r xmlns:d="http://schemas.openxmlformats.org/spreadsheetml/2006/main">
      <d:rPr>
        <d:sz val="11"/>
        <d:rFont val="Calibri"/>
      </d:rPr>
      <d:t xml:space="preserve">https://apps.anatel.gov.br/ParticipaAnatel/VisualizarTextoConsulta.aspx?TelaDeOrigem=2&amp;ConsultaId=20255</d:t>
    </d:r>
  </si>
  <si>
    <t xml:space="preserve">Federal Motor Vehicle Safety Standards; Rear Impact Guards; Rear 
Impact Protection; Denial of Petition for Rulemaking</t>
  </si>
  <si>
    <t xml:space="preserve">This document denies a petition for rulemaking from Jerry and Marianne Karth, Eric Hein, and Lois Durso-Hawkins, requesting that the National Highway Traffic Safety Administration (NHTSA) amend Federal Motor Vehicle Safety Standards (FMVSS) No. 223, “Rear impact guards,” and FMVSS No. 224, “Rear impact protection,”  to include additional requirements. The agency is denying the petition because it does not provide new or different information that would warrant initiation of a rulemaking at this time. This document also discusses NHTSA's consideration of a similar petition from the same petitioners submitted to the docket of the 15 July 2022 final rule amending FMVSS Nos. 223 and 224.89 Federal Register (FR) 57381, Title 49 Code of Federal Regulations (CFR) Part 571_x000D_
https://www.govinfo.gov/content/pkg/FR-2024-07-15/html/2024-13956.htm_x000D_
https://www.govinfo.gov/content/pkg/FR-2024-07-15/pdf/2024-13956.pdfThis denial of petitions for rulemaking and the final rule notified as G/TBT/N/USA/1055/Add.1 are identified by Docket Number NHTSA-2022-0053. The Docket Folder is available on Regulations.gov at https://www.regulations.gov/docket/NHTSA-2022-0053/document and provides access to primary and supporting documents as well as comments received. Documents are also accessible from Regulations.gov by searching the Docket Number.</t>
  </si>
  <si>
    <t>Motor vehicles</t>
  </si>
  <si>
    <t>43.040 - Road vehicle systems; 43.040 - Road vehicle systems</t>
  </si>
  <si>
    <d:r xmlns:d="http://schemas.openxmlformats.org/spreadsheetml/2006/main">
      <d:rPr>
        <d:sz val="11"/>
        <d:rFont val="Calibri"/>
      </d:rPr>
      <d:t xml:space="preserve">https://members.wto.org/crnattachments/2024/TBT/USA/24_04598_00_e.pdf</d:t>
    </d:r>
  </si>
  <si>
    <t>Public Consultation No. 8, 3 July 2024</t>
  </si>
  <si>
    <t>Mercosur Technical Regulation for gas cooking appliances, replacing the Mercosur Technical Regulation of minimum safety and energy efficiency requirements for domestic appliances that use gas as fuel, approved by GMC Resolution No. 36/08.Criticisms and suggestions must be presented on the Participa + Brasil Platform contained on the website https://www.gov.br/participamaisbrasil/inmetro-directia-de-avaliacao-da-conformidade</t>
  </si>
  <si>
    <t>Cheese and curd (HS code(s): 0406); Cheese (ICS code(s): 67.100.30)</t>
  </si>
  <si>
    <t>97.040.20 - Cooking ranges, working tables, ovens and similar appliances</t>
  </si>
  <si>
    <d:r xmlns:d="http://schemas.openxmlformats.org/spreadsheetml/2006/main">
      <d:rPr>
        <d:sz val="11"/>
        <d:rFont val="Calibri"/>
      </d:rPr>
      <d:t xml:space="preserve">https://members.wto.org/crnattachments/2024/TBT/BRA/24_04609_00_x.pdf</d:t>
    </d:r>
  </si>
  <si>
    <t>SDA/MAPA Ordinance No. 1139, 4 July 2024</t>
  </si>
  <si>
    <t>Rectification of SDA/MAPA Ordinance No. 1139, 4 July 2024, published in the Official Gazette of the Union on 8 July 2024, Edition 129, Section 1, page 5, which establishes procedures for laboratory registration, control and inspection animal semen sexing.The text is available only in Portuguese and can be downloaded at:</t>
  </si>
  <si>
    <t>Products of animal origin, n.e.s., dead animals, unfit for human consumption (excl. fish, crustaceans, molluscs or other aquatic invertebrates) (HS code(s): 051199)</t>
  </si>
  <si>
    <t>051199 - Products of animal origin, n.e.s., dead animals, unfit for human consumption (excl. fish, crustaceans, molluscs or other aquatic invertebrates); 051199 - Products of animal origin, n.e.s., dead animals, unfit for human consumption (excl. fish, crustaceans, molluscs or other aquatic invertebrates)</t>
  </si>
  <si>
    <t>65.020.30 - Animal husbandry and breeding</t>
  </si>
  <si>
    <t>Protection of animal or plant life or health (TBT); Quality requirements (TBT); Other (TBT)</t>
  </si>
  <si>
    <d:r xmlns:d="http://schemas.openxmlformats.org/spreadsheetml/2006/main">
      <d:rPr>
        <d:sz val="11"/>
        <d:rFont val="Calibri"/>
      </d:rPr>
      <d:t xml:space="preserve">https://members.wto.org/crnattachments/2024/TBT/BRA/24_04606_00_x.pdf</d:t>
    </d:r>
  </si>
  <si>
    <t>SDA/MAPA Ordinance No. 1141, 4 July 2024</t>
  </si>
  <si>
    <t>Rectification of SDA/MAPA Ordinance No. 1141, 4 July 2024, published in the Official Gazette of the Union on 9 July 2024, Edition 130, Section 1, page 20, which establishes procedures for registration, control and inspection of establishments collecting and processing semen from cattle, buffaloes, goats and sheep.The text is available only in Portuguese and can be downloaded at:</t>
  </si>
  <si>
    <t>Bovine semen (HS code(s): 051110)</t>
  </si>
  <si>
    <t>051110 - Bovine semen; 051110 - Bovine semen</t>
  </si>
  <si>
    <t>67.120.99 - Other animal produce; 67.120.99 - Other animal produce</t>
  </si>
  <si>
    <t>Animal health; Animal health</t>
  </si>
  <si>
    <d:r xmlns:d="http://schemas.openxmlformats.org/spreadsheetml/2006/main">
      <d:rPr>
        <d:sz val="11"/>
        <d:rFont val="Calibri"/>
      </d:rPr>
      <d:t xml:space="preserve">https://members.wto.org/crnattachments/2024/TBT/BRA/24_04607_00_x.pdf</d:t>
    </d:r>
  </si>
  <si>
    <t>Public Consultation 37, 11 July 2024</t>
  </si>
  <si>
    <t>Public Consultation to amend the Technical and Operational Requirements for Satellite Communication Systems, approved by Act No. 9,523, 27 October 2021. Comments can be made at:https://apps.anatel.gov.br/ParticipaAnatel/Home.aspxSelecting Public consultation No 37</t>
  </si>
  <si>
    <d:r xmlns:d="http://schemas.openxmlformats.org/spreadsheetml/2006/main">
      <d:rPr>
        <d:sz val="11"/>
        <d:rFont val="Calibri"/>
      </d:rPr>
      <d:t xml:space="preserve">https://members.wto.org/crnattachments/2024/TBT/BRA/24_04608_00_x.pdf</d:t>
    </d:r>
  </si>
  <si>
    <t>SDA/MAPA Ordinance No. 1.141, 4 July 2024; </t>
  </si>
  <si>
    <t>This addendum aims to inform that the Ministry of Agriculture and Livestock – MAPA, issued the Ordinance SDA/MAPA No. 1.141, 4 July 2024, to establish procedures for registration, control and inspection of establishments collecting and processing semen from cattle, buffaloes, goats and sheep.The following are revoked:I - Normative Instruction No. 53, 27 September 2006, published in the Official Gazette on 4 October 2006, Section 1; II - Normative Instruction No. 32, 23 August 2007, published in the Official Gazette on 27 August 2006, Section 1.</t>
  </si>
  <si>
    <t>051110 - Bovine semen</t>
  </si>
  <si>
    <t>67.120.99 - Other animal produce</t>
  </si>
  <si>
    <d:r xmlns:d="http://schemas.openxmlformats.org/spreadsheetml/2006/main">
      <d:rPr>
        <d:sz val="11"/>
        <d:rFont val="Calibri"/>
      </d:rPr>
      <d:t xml:space="preserve">https://www.in.gov.br/web/dou/-/portaria-sda/mapa-n-1.141-de-4-de-julho-de-2024-570873202</d:t>
    </d:r>
  </si>
  <si>
    <t>Amendment to Technical Specification for the Verification and Inspection of Water Meters </t>
  </si>
  <si>
    <t>The purpose of this notification is to provide the final texts of "Technical Specification for the Verification and Inspection of Water Meters" and relevant dates of its implementation.The draft texts notified in "G/TBT/N/TPKM/532" were adopted without changes.</t>
  </si>
  <si>
    <t>Water Meters ( For cold potable water meters only)</t>
  </si>
  <si>
    <t>91.140.60 - Water supply systems; 91.140.60 - Water supply systems</t>
  </si>
  <si>
    <d:r xmlns:d="http://schemas.openxmlformats.org/spreadsheetml/2006/main">
      <d:rPr>
        <d:sz val="11"/>
        <d:rFont val="Calibri"/>
      </d:rPr>
      <d:t xml:space="preserve">https://members.wto.org/crnattachments/2024/TBT/TPKM/final_measure/24_04582_00_e.pdf
https://members.wto.org/crnattachments/2024/TBT/TPKM/final_measure/24_04582_00_x.pdf</d:t>
    </d:r>
  </si>
  <si>
    <t>ORDINANCE SDA/MAPA No 1.142, of 5 July 2024</t>
  </si>
  <si>
    <t>Establishes phytosanitary requirements for the import of hydrangea cut flowers produced in Peru.</t>
  </si>
  <si>
    <t>Hydrangea cut flowers</t>
  </si>
  <si>
    <d:r xmlns:d="http://schemas.openxmlformats.org/spreadsheetml/2006/main">
      <d:rPr>
        <d:sz val="11"/>
        <d:rFont val="Calibri"/>
      </d:rPr>
      <d:t xml:space="preserve">https://members.wto.org/crnattachments/2024/SPS/BRA/24_04564_00_x.pdf
https://www.in.gov.br/en/web/dou/-/portaria-sda/mapa-n-1.142-de-5-de-julho-de-2024-570886030</d:t>
    </d:r>
  </si>
  <si>
    <t>Older Infants and young children food </t>
  </si>
  <si>
    <t>This draft technical regulation applies to the requirements for older Infants and young children food.</t>
  </si>
  <si>
    <d:r xmlns:d="http://schemas.openxmlformats.org/spreadsheetml/2006/main">
      <d:rPr>
        <d:sz val="11"/>
        <d:rFont val="Calibri"/>
      </d:rPr>
      <d:t xml:space="preserve">https://members.wto.org/crnattachments/2024/TBT/SAU/24_04574_00_x.pdf</d:t>
    </d:r>
  </si>
  <si>
    <t>Wheat Flour</t>
  </si>
  <si>
    <t>This draft technical regulation applies to wheat flour for direct human consumption prepared from common wheat, triticum aestivum L., or club wheat, Triticum compactum host, or mixtures thereof, which is prepackaged ready for sale to the consumer or destined for use in other food products.</t>
  </si>
  <si>
    <t>Processes in the food industry (ICS code(s): 67.020)</t>
  </si>
  <si>
    <t>110100 - Wheat or meslin flour</t>
  </si>
  <si>
    <d:r xmlns:d="http://schemas.openxmlformats.org/spreadsheetml/2006/main">
      <d:rPr>
        <d:sz val="11"/>
        <d:rFont val="Calibri"/>
      </d:rPr>
      <d:t xml:space="preserve">https://members.wto.org/crnattachments/2024/TBT/SAU/24_04567_00_x.pdf</d:t>
    </d:r>
  </si>
  <si>
    <t>Regulations Amending the Tobacco Products Appearance, Packaging and Labelling Regulations.</t>
  </si>
  <si>
    <t>The Regulations Amending the Tobacco Products Appearance, Packaging and Labelling Regulations were published in the Canada Gazette, Part II  on July 3, 2024. The Regulations come into force on the day they are registered (June 17, 2024).The Regulations strengthen the Tobacco Products Appearance, Packaging and Labelling Regulations (TPAPLR), which came into force on August 1, 2023, by clarifying requirements related to the placement of health-related messages on a secondary package that is a carton.The Regulations introduce minor technical amendments to provisions related to the placement of health warnings (HW) and toxicity information (TI) on secondary packages that are a carton to ensure they fully support the objectives of the TPAPLR. The Regulations clarify: HW must be displayed on the four largest exterior surfaces of a secondary package that is a carton; TI must be displayed on one of the remaining exterior surfaces of a secondary package that is a carton that does not contain a HW; wording of official languages requirements for the display of HW and TI on a secondary package that is a carton.Manufacturers have a transition period for implementing the labelling requirements until July 31, 2026, while retailers have until October 31, 2026.</t>
  </si>
  <si>
    <t>Tobacco, tobacco products and related equipment (ICS: 65.160).</t>
  </si>
  <si>
    <d:r xmlns:d="http://schemas.openxmlformats.org/spreadsheetml/2006/main">
      <d:rPr>
        <d:sz val="11"/>
        <d:rFont val="Calibri"/>
      </d:rPr>
      <d:t xml:space="preserve">https://canadagazette.gc.ca/rp-pr/p2/2024/2024-07-03/html/sor-dors137-eng.html
https://gazette.gc.ca/rp-pr/p2/2024/2024-07-03/html/sor-dors137-fra.html</d:t>
    </d:r>
  </si>
  <si>
    <t>The draft of Egyptian Standard ES 1561 " pure Ammonium nitrate for explosives "</t>
  </si>
  <si>
    <t>Products covered: Explosives. Pyrotechnics and fireworks (ICS code(s): 71.100.30)This addendum concerns the notification of the draft of Egyptian Standard ES 1561 " pure Ammonium nitrate for explosives "; (24 page(s), in Arabic)This standard cancels and supersedes ES 1561/ 2005.It should be noted that Ministerial Decree No. 423/2005 (25 pages, in Arabic) which was formerly notified in G/TBT/N/EGY/3 dated 14 December 2005 mandated among others the earlier version of this Standard.Worth mentioning is that this draft standard is technically identical with IS 4668/1985 ( Reaffirmed 2011) Producers and importers are kept informed of any amendments in the Egyptian standard through the publication of administrative orders in the official gazette.Proposed date of adoption: To be determined.Proposed date of entry into force: To be determined.Agency or authority designated to handle comments and text available from:National Enquiry PointEgyptian Organization for Standardization and Quality16 Tadreeb El-Modarrebeen St., Ameriya, Cairo – EgyptTel: + (202) 22845528Fax: + (202) 22845504E-mail: eos@idsc.net.eg/eos.tbt@eos.org.egWebsite: http://www.eos.org.eg</t>
  </si>
  <si>
    <t>Chemical, textile and engineering products</t>
  </si>
  <si>
    <t>71.100.30 - Explosives. Pyrotechnics and fireworks; 91.100 - Construction materials</t>
  </si>
  <si>
    <t>Partial amendment to the Substitute Sanitary Technical Regulation for the issuance of sanitary certificates for, and the control and surveillance of pesticides for domestic, industrial and public health use</t>
  </si>
  <si>
    <t xml:space="preserve">Partial amendment to the Substitute Sanitary Technical Regulation for the issuance of sanitary certificates for, and the control and surveillance of pesticides for domestic, industrial and public health use  1 This information can be provided by including a website address, a PDF attachment, or other information on where the text of the final measure/change to the measure/interpretative guidance can be obtained. G/TBT/N/ECU/503/Add.4 - 2 -   By means of this Addendum No. 4, the Republic of Ecuador advises that the partial amendment to the Substitute Sanitary Technical Regulation for the issuance of sanitary certificates for, and the control and surveillance of pesticides for domestic, industrial and public health use has been issued pursuant to Resolution No. ARCSA-DE-2024-014-DASP of 5 July 2024 by the National Agency for Sanitary Regulation, Control and Surveillance (ARCSA, Doctor Leopoldo Izquieta Pérez). The regulation will enter into force six months after its publication in the Official Journal. Text available from: Ministerio de Producción, Comercio Exterior, Inversiones y Pesca (Ministry of Production, Foreign Trade, Investment and Fisheries), Subsecretaría de Calidad (Under-Secretariat for Quality), Organismo Nacional de Notificación (National Notification Authority) TBT enquiry point: Patricio Álvarez Plataforma Gubernamental de Gestión Financiera - Piso 8, Bloque amarillo, Av. Amazonas entre Unión Nacional de Periodistas y Alfonso Pereira Quito, Ecuador Tel.: (+593-2) 3948760, Ext. 2252/2254 Email: Puntocontacto-OTCECU@produccion.gob.ec PuntocontactoOTC@gmail.com palvarezc@produccion.gob.ec cyepez@produccion.gob.ec __________</t>
  </si>
  <si>
    <t>The notified text seeks to regulate the issuance, amendment, renewal, suspension and cancellation of sanitary certificates for domestic and foreign pesticides for household, industrial and public health use, and the conditions under which the control and surveillance of these products are carried out. The notified text is is binding for all natural and legal persons responsible for the manufacture, importation, exportation, storage, distribution and marketing of chemical and biological pesticides for domestic, industrial and public health use, which are marketed throughout the national territory.</t>
  </si>
  <si>
    <t>Consumer information, labelling (TBT); Prevention of deceptive practices and consumer protection (TBT); Protection of human health or safety (TBT); Protection of the environment (TBT)</t>
  </si>
  <si>
    <d:r xmlns:d="http://schemas.openxmlformats.org/spreadsheetml/2006/main">
      <d:rPr>
        <d:sz val="11"/>
        <d:rFont val="Calibri"/>
      </d:rPr>
      <d:t xml:space="preserve">https://members.wto.org/crnattachments/2024/TBT/ECU/final_measure/24_04566_00_s.pdf</d:t>
    </d:r>
  </si>
  <si>
    <t>Partial amendment to "Resolution ARCSA-DE-001-2019-JCGO issuing the guidelines for notifying the Sanitary Registry of general medicines and biological products"</t>
  </si>
  <si>
    <t xml:space="preserve">Resolution ARCSA-DE-2024-030-DASP Draft partial amendment to "Resolution ARCSA-DE-001-2019-JCGO issuing the guidelines for notifying the Sanitary Registry of general medicines and biological products"  1 This information can be provided by including a website address, a PDF attachment, or other information on where the text of the final measure/change to the measure/interpretative guidance can be obtained. G/TBT/N/ECU/525/Add.1 - 2 -   The Republic of Ecuador hereby notifies and publishes Addendum No. 1 to the partial amendment to Resolution ARCSA-DE-001-2019-JCGO issuing the guidelines for notifying the Sanitary Registry of general medicines and biological products. The regulation has been issued pursuant to Resolution ARCSA-DE-2024-030-DASP of 3 July 2024 by the National Agency for Sanitary Regulation, Control and Surveillance (ARCSA, Doctor Leopoldo Izquieta Pérez). The regulation will enter into force six months after its signature, without prejudice to its publication in the Official Journal. Text available from: Ministerio de Producción, Comercio Exterior, Inversiones y Pesca (Ministry of Production, Foreign Trade, Investment and Fisheries), Subsecretaría de Calidad (Under-Secretariat for Quality), Organismo Nacional de Notificación (National Notification Authority) TBT enquiry point: Patricio Álvarez Plataforma Gubernamental de Gestión Financiera - Piso 8, Bloque amarillo, Av. Amazonas entre Unión Nacional de Periodistas y Alfonso Pereira Quito, Ecuador Tel.: (+593-2) 3948760, Ext. 2252/2254 Email: Puntocontacto-OTCECU@produccion.gob.ec palvarezc@produccion.gob.ec PuntocontactoECU@gmail.com cyepez@produccion.gob.ec __________</t>
  </si>
  <si>
    <t>Proyecto de reforma parcial a la “Resolución ARCSA-DE-001-2019-JCGO por medio de la cual se expiden las directrices para realizar notificaciones al registro sanitario de medicamentos en general y productos biológicos”</t>
  </si>
  <si>
    <d:r xmlns:d="http://schemas.openxmlformats.org/spreadsheetml/2006/main">
      <d:rPr>
        <d:sz val="11"/>
        <d:rFont val="Calibri"/>
      </d:rPr>
      <d:t xml:space="preserve">https://members.wto.org/crnattachments/2024/TBT/ECU/final_measure/24_04549_00_s.pdf</d:t>
    </d:r>
  </si>
  <si>
    <t>IMPLEMENTING GUIDELINES FOR THE PHILIPPINE ENERGY LABELING PROGRAM FOR AIR CONDITIONERS</t>
  </si>
  <si>
    <t>Domestic electrical appliances in general (ICS code(s): 97.030)</t>
  </si>
  <si>
    <t>97.030 - Domestic electrical appliances in general; 97.030 - Domestic electrical appliances in general</t>
  </si>
  <si>
    <d:r xmlns:d="http://schemas.openxmlformats.org/spreadsheetml/2006/main">
      <d:rPr>
        <d:sz val="11"/>
        <d:rFont val="Calibri"/>
      </d:rPr>
      <d:t xml:space="preserve">https://members.wto.org/crnattachments/2024/TBT/PHL/final_measure/24_04528_00_e.pdf</d:t>
    </d:r>
  </si>
  <si>
    <t>IMPLEMENTING GUIDELINES OF THE PHILIPPINE ENERGY LABELING PROGRAM FOR REFRIGERATING APPLIANCES</t>
  </si>
  <si>
    <t>Refrigerators, freezers and other refrigerating or freezing equipment, electric or other; heat pumps; parts thereof (excl. air conditioning machines of heading 8415) (HS code(s): 8418); Domestic electrical appliances in general (ICS code(s): 97.030)</t>
  </si>
  <si>
    <t>8418 - Refrigerators, freezers and other refrigerating or freezing equipment, electric or other; heat pumps; parts thereof (excl. air conditioning machines of heading 8415); 8418 - Refrigerators, freezers and other refrigerating or freezing equipment, electric or other; heat pumps; parts thereof (excl. air conditioning machines of heading 8415)</t>
  </si>
  <si>
    <d:r xmlns:d="http://schemas.openxmlformats.org/spreadsheetml/2006/main">
      <d:rPr>
        <d:sz val="11"/>
        <d:rFont val="Calibri"/>
      </d:rPr>
      <d:t xml:space="preserve">https://members.wto.org/crnattachments/2024/TBT/PHL/final_measure/24_04525_00_e.pdf</d:t>
    </d:r>
  </si>
  <si>
    <t>IMPLEMENTING GUIDELINES OF THE PHILIPPINE ENERGY LABELING PROGRAM FOR CLOTHES WASHING MACHINES</t>
  </si>
  <si>
    <t>97.060 - Laundry appliances; 97.060 - Laundry appliances</t>
  </si>
  <si>
    <d:r xmlns:d="http://schemas.openxmlformats.org/spreadsheetml/2006/main">
      <d:rPr>
        <d:sz val="11"/>
        <d:rFont val="Calibri"/>
      </d:rPr>
      <d:t xml:space="preserve">https://members.wto.org/crnattachments/2024/TBT/PHL/final_measure/24_04526_00_e.pdf</d:t>
    </d:r>
  </si>
  <si>
    <t>Draft amendments to the Rules for Marketing Authorization and Assessment of Medicinal Products for Human Use  http://docs.eaeunion.org/ria/ru-ru/0106768/ria_26062024</t>
  </si>
  <si>
    <t>The draft Decision envisages updating the text of the Marketing Authorization and Assessment of Medicinal Products for Human Use, taking into account the experience of their enforcement, improving the classification of changes to the registration dossier of a medicinal product, detailing the requirements and number of documents submitted by the applicant as part of the amendment procedure; optimizing administrative procedures related to this procedure</t>
  </si>
  <si>
    <t>Medical products</t>
  </si>
  <si>
    <t>Amendment of Inmetro Ordinance nº 35, 5 February 2021</t>
  </si>
  <si>
    <t>National Institute of Metrology, Quality and Technology – Inmetro, issued the Ordinance No. 354, 5 July 2024 that amends the article 14 of Inmetro Ordinance nº 35, 5 February 2021 published in the Official Gazette of the Union on 11 February 2021, section 1, pages 59 to 64. </t>
  </si>
  <si>
    <t>Tacit approval for the public acts of release of Inmetro´s responsibility</t>
  </si>
  <si>
    <d:r xmlns:d="http://schemas.openxmlformats.org/spreadsheetml/2006/main">
      <d:rPr>
        <d:sz val="11"/>
        <d:rFont val="Calibri"/>
      </d:rPr>
      <d:t xml:space="preserve">https://www.in.gov.br/en/web/dou/-/portaria-n-354-de-5-de-julho-de-2024-570608697</d:t>
    </d:r>
  </si>
  <si>
    <t>Act No. 9960, 28 June 2024</t>
  </si>
  <si>
    <t>National Telecommunications Agency - ANATEL approves the technical requirements for evaluating the conformity of the type of interactive screen product for educational use, as per the annex to this Act.</t>
  </si>
  <si>
    <d:r xmlns:d="http://schemas.openxmlformats.org/spreadsheetml/2006/main">
      <d:rPr>
        <d:sz val="11"/>
        <d:rFont val="Calibri"/>
      </d:rPr>
      <d:t xml:space="preserve">https://informacoes.anatel.gov.br/legislacao/atos-de-certificacao-de-produtos/2024/1959-ato-9960</d:t>
    </d:r>
  </si>
  <si>
    <t>Draft Law of Ukraine “On Amendments to Certain Laws of Ukraine on Improving the Regulation of the Production and Circulation of Food Supplements”</t>
  </si>
  <si>
    <t>The draft Law of Ukraine “On Amendments to Certain Laws of Ukraine on Improving the Regulation of the Production and Circulation of Food Supplements” (hereinafter - the Draft Law/Law) introduces new definition of the term “food supplements”, establishes the procedure for providing notices on introduction of food supplements into circulation, provides for the authority of the Ministry of Health of Ukraine to approve the list of vitamins and mineral substances, as well as other substances and their maximum permissible doses, which are allowed for use in food supplements, imposes responsibility for the production and sale of food supplements that do not meet the requirements.The draft Law establishes special requirements for food supplements, in particular the following:a market operator who intends to introduce a food supplement into circulation for the first time shall notify the competent authority about such intention by sending a notifice at least ten working days before circulation of the food supplement in question;food supplements can be introduced into circulation, offered for sale and sold to the final consumer exclusively as a pre-packaged food products;only substances included in the list of vitamins, mineral substances and other substances and their maximum permissible doses allowed for use in food supplements can be used for the production of food supplements, in compliance with the maximum permissible doses established by the specified list to be approved by the Ministry of Health of Ukraine.It should be noted that food supplements that met the requirements of the legislation prior to the entry into force of the Law may be imported into the customs territory of Ukraine within one year from the date of entry into force of the Law. Such food supplements can be in circulation before the expiry date.Within six months from the date of entry into force of the Law, the following acts shall be developed or amended to implement the provisions of the Law:Order of the Ministry of Health of Ukraine on the approval of the procedure and methodology for assessing the impact of vitamins, minerals or other substances and their maximum permissible doses in food products, which are offered for introduction into circulation as food supplements, on human health;Order of the Ministry of Health No. 1114 "On the approval of Hygienic Requirements for Dietary Supplements" of 19 December 2013;Order of the Ministry of Agrarian Policy No. 244 "On the approval of the Procedure for sending a notice of the intention to introduce baby food, food products for special medical purposes and food products for weight control into circulation, as well as maintaining and publishing a list of such notifices" of 25 April 2022.Within six months from the date of entry into force of the Law market operators shall submit to the competent authority a notice of the intention to introduce into circulation for the first time a food supplement that was in circulation on the territory of Ukraine as a dietary supplement before the entry into force of the Law and is planned to be put into circulation after its entry into force.</t>
  </si>
  <si>
    <d:r xmlns:d="http://schemas.openxmlformats.org/spreadsheetml/2006/main">
      <d:rPr>
        <d:sz val="11"/>
        <d:rFont val="Calibri"/>
      </d:rPr>
      <d:t xml:space="preserve">https://members.wto.org/crnattachments/2024/SPS/UKR/24_04553_00_x.pdf
https://itd.rada.gov.ua/billInfo/Bills/Card/44522</d:t>
    </d:r>
  </si>
  <si>
    <t> Poultry meat new trade condition</t>
  </si>
  <si>
    <t>The entry into force of the proposed measure has been postponed until future notice.</t>
  </si>
  <si>
    <t>Meat and edible offal, of the poultry of heading No. 0105, fresh, chilled or frozen (HS code(s): 0207)</t>
  </si>
  <si>
    <t>0207 - Meat and edible offal of fowls of the species Gallus domesticus, ducks, geese, turkeys and guinea fowls, fresh, chilled or frozen; 0207 - Meat and edible offal of fowls of the species Gallus domesticus, ducks, geese, turkeys and guinea fowls, fresh, chilled or frozen</t>
  </si>
  <si>
    <t>Human health; Food safety; Change in date of adoption/publication/entry into force; Food safety; Human health</t>
  </si>
  <si>
    <t>IMPLEMENTING GUIDELINES OF THE PHILIPPINE ENERGY LABELING PROGRAM FOR DISPLAY MONITORS</t>
  </si>
  <si>
    <d:r xmlns:d="http://schemas.openxmlformats.org/spreadsheetml/2006/main">
      <d:rPr>
        <d:sz val="11"/>
        <d:rFont val="Calibri"/>
      </d:rPr>
      <d:t xml:space="preserve">https://members.wto.org/crnattachments/2024/TBT/PHL/final_measure/24_04530_00_e.pdf</d:t>
    </d:r>
  </si>
  <si>
    <t>Draft Policy Statement on Special Class Rotorcraft</t>
  </si>
  <si>
    <t xml:space="preserve">Notice of availability; request for comments - The FAA invites public comment on the agency's draft policy statement PS-AIR-21.17-02, “Special Class Rotorcraft.” This proposed policy would identify certain rotorcraft as special class. _x000D_
</t>
  </si>
  <si>
    <t>Special class rotorcraft; Aircraft and space vehicles in general (ICS code(s): 49.020)</t>
  </si>
  <si>
    <t>49.020 - Aircraft and space vehicles in general</t>
  </si>
  <si>
    <d:r xmlns:d="http://schemas.openxmlformats.org/spreadsheetml/2006/main">
      <d:rPr>
        <d:sz val="11"/>
        <d:rFont val="Calibri"/>
      </d:rPr>
      <d:t xml:space="preserve">https://members.wto.org/crnattachments/2024/TBT/USA/24_04548_00_e.pdf
https://members.wto.org/crnattachments/2024/TBT/USA/24_04548_01_e.pdf</d:t>
    </d:r>
  </si>
  <si>
    <t>REVISING THE MINIMUM ENERGY PERFORMANCE FOR PRODUCTS (MEPP) COVERED BY THE PHILIPPINE ENERGY LABELING PROGRAM (PELP) FOR COMPLIANCE OF IMPORTERS, MANUFACTURERS, DISTRIBUTORS, DEALERS, AND RETAILERS OF ENERGY CONSUMING PRODUCTS</t>
  </si>
  <si>
    <t>Energy and heat transfer engineering (ICS code(s): 27)</t>
  </si>
  <si>
    <t>27 - ENERGY AND HEAT TRANSFER ENGINEERING; 27 - Energy and heat transfer engineering</t>
  </si>
  <si>
    <d:r xmlns:d="http://schemas.openxmlformats.org/spreadsheetml/2006/main">
      <d:rPr>
        <d:sz val="11"/>
        <d:rFont val="Calibri"/>
      </d:rPr>
      <d:t xml:space="preserve">https://members.wto.org/crnattachments/2024/TBT/PHL/final_measure/24_04523_00_e.pdf</d:t>
    </d:r>
  </si>
  <si>
    <t>Notification of the National Broadcasting and Telecommunications Commission Re: Technical Standard for FM Radio Transmitter (NBTC TS 3001-2567(2024))</t>
  </si>
  <si>
    <t>This addendum is to inform that the Notification of the National Broadcasting and Telecommunications Commission Re: Technical Standard for FM Radio Transmitter (NBTC TS 3001-2567(2024)) is effective as of 22 June 2024.</t>
  </si>
  <si>
    <t>FM radio transmitter</t>
  </si>
  <si>
    <t>33.060.20 - Receiving and transmitting equipment; 33.060.20 - Receiving and transmitting equipment</t>
  </si>
  <si>
    <d:r xmlns:d="http://schemas.openxmlformats.org/spreadsheetml/2006/main">
      <d:rPr>
        <d:sz val="11"/>
        <d:rFont val="Calibri"/>
      </d:rPr>
      <d:t xml:space="preserve">https://members.wto.org/crnattachments/2024/TBT/THA/final_measure/24_04550_00_x.pdf</d:t>
    </d:r>
  </si>
  <si>
    <t>IMPLEMENTING GUIDELINES OF THE PHILIPPINE ENERGY LABELING PROGRAM FOR TELEVISION SETS</t>
  </si>
  <si>
    <d:r xmlns:d="http://schemas.openxmlformats.org/spreadsheetml/2006/main">
      <d:rPr>
        <d:sz val="11"/>
        <d:rFont val="Calibri"/>
      </d:rPr>
      <d:t xml:space="preserve">https://members.wto.org/crnattachments/2024/TBT/PHL/final_measure/24_04529_00_e.pdf</d:t>
    </d:r>
  </si>
  <si>
    <t>IMPLEMENTING GUIDELINES OF THE PHILIPPINE ENERGY LABELING PROGRAM FOR LIGHTING PRODUCTS</t>
  </si>
  <si>
    <t>Lamps and related equipment (ICS code(s): 29.140)</t>
  </si>
  <si>
    <t>29.140 - Lamps and related equipment; 29.140 - Lamps and related equipment</t>
  </si>
  <si>
    <d:r xmlns:d="http://schemas.openxmlformats.org/spreadsheetml/2006/main">
      <d:rPr>
        <d:sz val="11"/>
        <d:rFont val="Calibri"/>
      </d:rPr>
      <d:t xml:space="preserve">https://members.wto.org/crnattachments/2024/TBT/PHL/final_measure/24_04527_00_e.pdf</d:t>
    </d:r>
  </si>
  <si>
    <t>Draft amendments to the Requirements for the Medication Guide and Summary of Product Characteristics of Medicinal Products for Human Use  https://docs.eaeunion.orq/ria/ru-ru/0106779/ria_04072024</t>
  </si>
  <si>
    <t>The draft Decision provides for updating the text of the Requirements for the Medication Guide and Summary of Product Characteristics of Medicinal Products for Human Use taking into account the low enforcement practice of the Requirements concerning: - optimization of user's testing of the medication guide of medicinal products for human use, - updating templates for filling out the medication guide and summary of product characteristics of medicinal products for human use.</t>
  </si>
  <si>
    <t>IMPLEMENTING GUIDELINES OF THE PHILIPPINE ENERGY LABELING PROGRAM FOR ENERGY SAVING DEVICES (ESD) / LOW VOLTAGE SAVING DEVICES (LVSD) FOR DOMESTIC APPLICATION</t>
  </si>
  <si>
    <t>Domestic and commercial equipment. Entertainment. Sports (ICS code(s): 97)</t>
  </si>
  <si>
    <d:r xmlns:d="http://schemas.openxmlformats.org/spreadsheetml/2006/main">
      <d:rPr>
        <d:sz val="11"/>
        <d:rFont val="Calibri"/>
      </d:rPr>
      <d:t xml:space="preserve">https://members.wto.org/crnattachments/2024/TBT/PHL/final_measure/24_04531_00_e.pdf</d:t>
    </d:r>
  </si>
  <si>
    <t>Amendment to Inmetro Ordinance No. 167, 13 April 2021</t>
  </si>
  <si>
    <t>National Institute of Metrology, Quality and Technology – Inmetro, issued Public Consultation No. 7, 28 June 2024, that amends Inmetro Ordinance No. 167, 13 April 2021 that approves the consolidation of technical quality regulation and conformity assessment requirements for baby carriage.</t>
  </si>
  <si>
    <t>Baby Carriage (HS 871500).</t>
  </si>
  <si>
    <t>8715 - Baby carriages and parts thereof.; 8715 - Baby carriages and parts thereof, n.e.s.</t>
  </si>
  <si>
    <d:r xmlns:d="http://schemas.openxmlformats.org/spreadsheetml/2006/main">
      <d:rPr>
        <d:sz val="11"/>
        <d:rFont val="Calibri"/>
      </d:rPr>
      <d:t xml:space="preserve">https://www.in.gov.br/en/web/dou/-/consulta-publica-n-7-de-28-de-junho-de-2024-571465123
</d:t>
    </d:r>
  </si>
  <si>
    <t>Revision to the Consumer Product Safety Act, Electrical Appliances and Materials Safety Act, Gas Business Act and Act on the Securing of Safety and the Optimization of Transaction of Liquefied Petroleum Gas </t>
  </si>
  <si>
    <t>The intention is to clarify that overseas operators that sell products directly to general consumers in Japan without going through manufacturers and importers in Japan are subject to regulations under the technical regulations, as well as to introduce regulations for children's products, such as toys; requirements, such as displaying an appropriate age for use and precautions for us;, and technical regulations.</t>
  </si>
  <si>
    <t>Consumer products, electrical appliances and materials, and gas/liquefied petroleum gas (LPG) equipment and appliances:Additional covered products will be designated in the cabinet order under the Consumer Product Safety Act. Toys and other products for children are currently being considered as designated products.</t>
  </si>
  <si>
    <t>75.180 - Equipment for petroleum and natural gas industries; 75.180 - Equipment for petroleum and natural gas industries; 97.030 - Domestic electrical appliances in general; 97.030 - Domestic electrical appliances in general; 97.200.50 - Toys; 97.200.50 - Toys</t>
  </si>
  <si>
    <d:r xmlns:d="http://schemas.openxmlformats.org/spreadsheetml/2006/main">
      <d:rPr>
        <d:sz val="11"/>
        <d:rFont val="Calibri"/>
      </d:rPr>
      <d:t xml:space="preserve">Cabinet Decision on the Bill for the Act for Partially Amending the Consumer Product Safety Act and Other Related Acts (Related materials are only in Japanese)
https://www.meti.go.jp/english/press/2024/0301_002.html
</d:t>
    </d:r>
  </si>
  <si>
    <t>DraftCommission Delegated Regulation supplementing Regulation (EU) No 305/2011 of the European Parliament and of the Council by establishing threshold levels and classes of performance for permanent anchor devices and safety hooks</t>
  </si>
  <si>
    <t>establishment of threshold levels and classes for permanent anchor devices and safety hooks</t>
  </si>
  <si>
    <t>Construction products</t>
  </si>
  <si>
    <t>91.120 - Protection of and in buildings</t>
  </si>
  <si>
    <d:r xmlns:d="http://schemas.openxmlformats.org/spreadsheetml/2006/main">
      <d:rPr>
        <d:sz val="11"/>
        <d:rFont val="Calibri"/>
      </d:rPr>
      <d:t xml:space="preserve">https://members.wto.org/crnattachments/2024/TBT/EEC/24_04547_00_e.pdf
https://members.wto.org/crnattachments/2024/TBT/EEC/24_04547_01_e.pdf</d:t>
    </d:r>
  </si>
  <si>
    <t>Draft Commission Regulation amending Annex II to Regulation (EC) No 396/2005 of the European Parliament and of the Council as regards maximum residue levels for acetamiprid in or on certain products (Text with EEA relevance)</t>
  </si>
  <si>
    <t>The proposed draft Regulation concerns the review of existing MRLs for acetamiprid in certain food commodities. MRLs for these substances in certain commodities are lowered.</t>
  </si>
  <si>
    <t>Meat and edible meat offal (HS code(s): 02); Cereals (HS code(s): 10)</t>
  </si>
  <si>
    <t>02 - MEAT AND EDIBLE MEAT OFFAL; 10 - CEREALS</t>
  </si>
  <si>
    <d:r xmlns:d="http://schemas.openxmlformats.org/spreadsheetml/2006/main">
      <d:rPr>
        <d:sz val="11"/>
        <d:rFont val="Calibri"/>
      </d:rPr>
      <d:t xml:space="preserve">https://members.wto.org/crnattachments/2024/SPS/EEC/24_04551_01_e.pdf
https://members.wto.org/crnattachments/2024/SPS/EEC/24_04551_00_e.pdf
https://members.wto.org/crnattachments/2024/SPS/EEC/24_04551_02_e.pdf
https://members.wto.org/crnattachments/2024/SPS/EEC/24_04551_03_e.pdf</d:t>
    </d:r>
  </si>
  <si>
    <t>This addendum concerns the notification of the Ministerial Decree No. 361/2024 (2 pages, in Arabic) which extends the shelf life of frozen fish and frozen liver stipulated in the Egyptian Standard ES 2613-2/2008 for "Shelf life for food products part 2: shelf life" (18 pages, in Arabic) to be ten months in case of frozen fish and twelve months in case of frozen liver from the date of slaughter. This Decree is valid from 1 July 2024 until 31 December 2024.It should be noted that the Ministerial Decree No. 100/2019 which was formerly notified in G/SPS/N/EGY/92/Add.1 dated 3 June 2020, the Ministerial Decree No. 653/2020 which was formerly notified in G/SPS/N/EGY/92/Add.2 dated 15 March 2021, the Ministerial Decree No. 222/2021 which was formerly notified in G/SPS/N/EGY/92/Add.3 dated 20 September 2021, the Ministerial Decree No. 522/2021 which was formerly notified in G/SPS/N/EGY/92/Add.4 dated 18 March 2022, the Ministerial Decree No. 393/2022 which was formerly notified in G/SPS/N/EGY/92/Add.5 dated 25 August 2022 and the Ministerial Decree No. 233/2023 which was formerly notified in G/SPS/N/EGY/92/Add.6  dated  21 July 2023, mandated among others the earlier versions and amendments of this Standard.Worth mentioning is that this standard has been formulated according to National Studies and its updates.Producers and importers are kept informed of any amendments in the Egyptian standards through the publication of administrative orders in the official gazette.Date of adoption: 27 June 2024Date of entry into force: 1 July 2024</t>
  </si>
  <si>
    <t>Ordinance No. 262, 9 July 2024</t>
  </si>
  <si>
    <t>Proposes the indication of the net quantity of pre-packaged meat products and cheeses and curds, which can’t have their quantities standardized and/or which may lose weight significantly - Consolidated.The Inmetro Ordinance nº 340, 9 August 2021 published in the Official Gazette of the Union on 11 August 2021, Section 1, page 39 are revoked.</t>
  </si>
  <si>
    <t>67.120 - Meat, meat products and other animal produce; 67.230 - Prepackaged and prepared foods; 67.100.30 - Cheese</t>
  </si>
  <si>
    <d:r xmlns:d="http://schemas.openxmlformats.org/spreadsheetml/2006/main">
      <d:rPr>
        <d:sz val="11"/>
        <d:rFont val="Calibri"/>
      </d:rPr>
      <d:t xml:space="preserve">https://www.in.gov.br/en/web/dou/-/portaria-n-262-de-9-de-julho-de-2024-571171647</d:t>
    </d:r>
  </si>
  <si>
    <t>National Food Safety Standard of the P.R.C.: General Principles for the Labeling of Prepackaged Foods</t>
  </si>
  <si>
    <t>1.Removed the requirements for font height, the producer information for domestically produced food, the net content, and the labeling requirements for multi-layer and combination packaging. The relevant content is proposed to be separately regulated by the SAMR;2. Deleted the definitions of attribute names, use-by date and food claims, as well as the specific requirements for food claims in Appendix E;3. The labelling requirements for the production date have been modified. For pre-packaged foods with a shelf life of more than one year and a maximum surface area of the packaging not exceeding 20 cm², just indicate the shelf life and the expiration date, and there is no need to indicate the production date.The detailed modification content is provided in the standard text.</t>
  </si>
  <si>
    <t>Prepackaged foods</t>
  </si>
  <si>
    <t>Labelling; Human health; Food safety; Modification of content/scope of regulation; Labelling; Food safety; Human health</t>
  </si>
  <si>
    <d:r xmlns:d="http://schemas.openxmlformats.org/spreadsheetml/2006/main">
      <d:rPr>
        <d:sz val="11"/>
        <d:rFont val="Calibri"/>
      </d:rPr>
      <d:t xml:space="preserve">https://members.wto.org/crnattachments/2024/SPS/CHN/24_04512_00_x.pdf</d:t>
    </d:r>
  </si>
  <si>
    <t>PROYECTO de Norma Oficial Mexicana PROY-NOM-011-ARTF-2024, Especificaciones de las suelas bajo durmientes de concreto (Draft Mexican Official Standard PROY-NOM-011-ARTF-2024: Specifications for concrete under-sleeper pads) (15 pages, in Spanish)</t>
  </si>
  <si>
    <t xml:space="preserve">The notified draft Mexican Official Standard establishes the minimum specifications and general assessment criteria to be borne in mind in tests to determine the quality of under-sleeper pads to be used on railway tracks for the provision of public rail passenger transport services. It is applicable in the United Mexican States and is binding on all natural and legal persons that directly or indirectly participate in the Mexican railway system, including all licence and permit holders, and that, in the development of new projects, consider the use of under-sleeper pads in the final construction drawings. This draft Standard also seeks to achieve the following legitimate public interest objectives: G/TBT/N/MEX/533 - 2 -   • National security. • Public works and services. • Road safety.</t>
  </si>
  <si>
    <t>Under-sleeper pads to be used on railway tracks for the provision of public rail passenger transport services</t>
  </si>
  <si>
    <t>45.080 - Rails and railway components</t>
  </si>
  <si>
    <d:r xmlns:d="http://schemas.openxmlformats.org/spreadsheetml/2006/main">
      <d:rPr>
        <d:sz val="11"/>
        <d:rFont val="Calibri"/>
      </d:rPr>
      <d:t xml:space="preserve">https://members.wto.org/crnattachments/2024/TBT/MEX/24_04520_00_s.pdf</d:t>
    </d:r>
  </si>
  <si>
    <t>Projet de décret relatif à la qualité et à la sécurité sanitaire des aliments pour animaux (Draft Decree on the quality and safety of animal feed) Adoption of Decree No. 2-23-557 of 14 May 2024 on the quality, safety and labelling of feed for food-producing animals. https://www.onssa.gov.ma/wp-content/uploads/2024/07/DEC.2-23-557.FR_.pdf https://members.wto.org/crnattachments/2024/SPS/MAR/24_04519_00_f.pdf</t>
  </si>
  <si>
    <t>Animal feed</t>
  </si>
  <si>
    <t>Adoption/publication/entry into force of reg.; Human health; Animal health; Food safety; Animal feed; Animal diseases; Animal diseases; Animal feed; Food safety; Animal health; Human health</t>
  </si>
  <si>
    <d:r xmlns:d="http://schemas.openxmlformats.org/spreadsheetml/2006/main">
      <d:rPr>
        <d:sz val="11"/>
        <d:rFont val="Calibri"/>
      </d:rPr>
      <d:t xml:space="preserve">https://members.wto.org/crnattachments/2024/SPS/MAR/24_04519_00_f.pdf
https://www.onssa.gov.ma/wp-content/uploads/2024/07/DEC.2-23-557.FR_.pdf</d:t>
    </d:r>
  </si>
  <si>
    <t>National Food Safety Standard of the P.R.C.: Dried Fruit and Dried Vegetable</t>
  </si>
  <si>
    <t>This standard applies to dried fruit and dried vegetable. This standard stipulates the terms, definitions, technical requirements etc.</t>
  </si>
  <si>
    <t>Dried fruit and dried vegetable</t>
  </si>
  <si>
    <t>0814 - Peel of citrus fruit or melons (including watermelons), fresh, frozen, dried or provisionally preserved in brine, in sulphur water or in other preservative solutions.; 0813 - Dried apricots, prunes, apples, peaches, pears, papaws "papayas", tamarinds and other edible fruits, and mixtures of edible and dried fruits or of edible nuts (excl. nuts, bananas, dates, figs, pineapples, avocados, guavas, mangoes, mangosteens, citrus fruit and grapes, unmixed); 080620 - Dried grapes; 0805 - Citrus fruit, fresh or dried; 0804 - Dates, figs, pineapples, avocados, guavas, mangoes and mangosteens, fresh or dried; 0803 - Bananas, incl. plantains, fresh or dried; 0802 - Other nuts, fresh or dried, whether or not shelled or peeled (excl. coconuts, Brazil nuts and cashew nuts); 0801 - Coconuts, Brazil nuts and cashew nuts, fresh or dried, whether or not shelled or peeled; 0714 - Roots and tubers of manioc, arrowroot, salep, Jerusalem artichokes, sweet potatoes and similar roots and tubers with high starch or inulin content, fresh, chilled, frozen or dried, whether or not sliced or in the form of pellets; sago pith; 0713 - Dried leguminous vegetables, shelled, whether or not skinned or split; 0712 - Dried vegetables, whole, cut, sliced, broken or in powder, but not further prepared</t>
  </si>
  <si>
    <d:r xmlns:d="http://schemas.openxmlformats.org/spreadsheetml/2006/main">
      <d:rPr>
        <d:sz val="11"/>
        <d:rFont val="Calibri"/>
      </d:rPr>
      <d:t xml:space="preserve">https://members.wto.org/crnattachments/2024/SPS/CHN/24_04500_00_x.pdf</d:t>
    </d:r>
  </si>
  <si>
    <t>National Food Safety Standard of the P.R.C.: Principle for the control of acrylamide contamination in food</t>
  </si>
  <si>
    <t>This standard specifies the basic requirements and management guidelines for the prevention and control of acrylamide generation in potato products, roasted grain products, and coffee via controlling raw materials, processing, and other critical control point. This standard applies to the prevention and control of acrylamide generation in foods made from raw materials which are rich in reducing sugars and asparagine (including potatoes, grains, coffee, etc.) through thermal processing such as frying and roasting.</t>
  </si>
  <si>
    <t>Potato products, roasted grain products, and coffee and other food products (ICS code: 67.040)</t>
  </si>
  <si>
    <t>1904 - Prepared foods obtained by the swelling or roasting of cereals or cereal products, e.g. corn flakes; cereals (other than maize "corn") in grain form or in the form of flakes or other worked grains (except flour, groats and meal), pre-cooked or otherwise prepared, n.e.s.; 0901 - Coffee, whether or not roasted or decaffeinated; coffee husks and skins; coffee substitutes containing coffee in any proportion; 0701 - Potatoes, fresh or chilled</t>
  </si>
  <si>
    <t>Human health; Food safety; Contaminants</t>
  </si>
  <si>
    <d:r xmlns:d="http://schemas.openxmlformats.org/spreadsheetml/2006/main">
      <d:rPr>
        <d:sz val="11"/>
        <d:rFont val="Calibri"/>
      </d:rPr>
      <d:t xml:space="preserve">https://members.wto.org/crnattachments/2024/SPS/CHN/24_04509_00_x.pdf</d:t>
    </d:r>
  </si>
  <si>
    <t>National Food Safety Standard of the P.R.C.: Code of practice for the prevention and reduction of lead contamination in foods</t>
  </si>
  <si>
    <t>The measures to prevent and reduce lead pollution in food were stipulated.</t>
  </si>
  <si>
    <t>All foods</t>
  </si>
  <si>
    <t>Food safety; Human health; Contaminants</t>
  </si>
  <si>
    <d:r xmlns:d="http://schemas.openxmlformats.org/spreadsheetml/2006/main">
      <d:rPr>
        <d:sz val="11"/>
        <d:rFont val="Calibri"/>
      </d:rPr>
      <d:t xml:space="preserve">https://members.wto.org/crnattachments/2024/SPS/CHN/24_04510_00_x.pdf</d:t>
    </d:r>
  </si>
  <si>
    <t>National Food Safety Standard of the P.R.C.: Food additive Dibutyl hydroxytoluene (BHT)</t>
  </si>
  <si>
    <t>This standard is applicable to dibutyl hydroxytoluene (BHT), a food additive prepared by distillation and recrystallization of the product of alkylation reaction with p-cresol and isobutylene as raw materials under acidic catalyst. </t>
  </si>
  <si>
    <t>Food additive Dibutyl hydroxytoluene (BHT)</t>
  </si>
  <si>
    <d:r xmlns:d="http://schemas.openxmlformats.org/spreadsheetml/2006/main">
      <d:rPr>
        <d:sz val="11"/>
        <d:rFont val="Calibri"/>
      </d:rPr>
      <d:t xml:space="preserve">https://members.wto.org/crnattachments/2024/SPS/CHN/24_04504_00_x.pdf</d:t>
    </d:r>
  </si>
  <si>
    <t>National Food Safety Standard of the P.R.C.: Food additive Paprika Oleorein</t>
  </si>
  <si>
    <t>This standard applies to food additive paprika oleorein using the fruit of Capsicum annuum L. or Capsicum frutescens L. as raw materials to extract paprika oleorein. The following solvents may be used for the extraction: methanol, ethanol, ethyl acetate, acetone, n-hexane, isopropanol, dichloromethane. It specifies the technical requirements and testing methods for the food additive paprika oleorein.</t>
  </si>
  <si>
    <t>Food additive Paprika oleorein</t>
  </si>
  <si>
    <d:r xmlns:d="http://schemas.openxmlformats.org/spreadsheetml/2006/main">
      <d:rPr>
        <d:sz val="11"/>
        <d:rFont val="Calibri"/>
      </d:rPr>
      <d:t xml:space="preserve">https://members.wto.org/crnattachments/2024/SPS/CHN/24_04505_00_x.pdf</d:t>
    </d:r>
  </si>
  <si>
    <t>National Food Safety Standard of the P.R.C.: Milk Protein</t>
  </si>
  <si>
    <t>This standard applies to milk protein. This standard stipulates the terms, definitions, technical requirements, etc. of milk protein.</t>
  </si>
  <si>
    <t>Milk protein</t>
  </si>
  <si>
    <t>350400 - Peptones and their derivatives; other protein substances and their derivatives, n.e.s.; hide powder, whether or not chromed (excl. organic or inorganic compounds of mercury whether or not chemically defined)</t>
  </si>
  <si>
    <d:r xmlns:d="http://schemas.openxmlformats.org/spreadsheetml/2006/main">
      <d:rPr>
        <d:sz val="11"/>
        <d:rFont val="Calibri"/>
      </d:rPr>
      <d:t xml:space="preserve">https://members.wto.org/crnattachments/2024/SPS/CHN/24_04501_00_x.pdf</d:t>
    </d:r>
  </si>
  <si>
    <t>National Food Safety Standard of the P.R.C.: Cake and Bread</t>
  </si>
  <si>
    <t>This standard applies to cake and bread. It specifies the definitions and the technical requirements of cake and bread.</t>
  </si>
  <si>
    <t>Cake and bread</t>
  </si>
  <si>
    <t>1905 - Bread, pastry, cakes, biscuits and other bakers' wares, whether or not containing cocoa; communion wafers, empty cachets of a kind suitable for pharmaceutical use, sealing wafers, rice paper and similar products</t>
  </si>
  <si>
    <d:r xmlns:d="http://schemas.openxmlformats.org/spreadsheetml/2006/main">
      <d:rPr>
        <d:sz val="11"/>
        <d:rFont val="Calibri"/>
      </d:rPr>
      <d:t xml:space="preserve">https://members.wto.org/crnattachments/2024/SPS/CHN/24_04502_00_x.pdf</d:t>
    </d:r>
  </si>
  <si>
    <t>Draft Decision of the Council of the Eurasian Economic Commission on Amendments to the Regulation on the Unified Procedure for Joint Inspections of Facilities and Sampling of Goods (Products) Subject to Veterinary Control (Supervision)</t>
  </si>
  <si>
    <t>The draft provides for amendments to the actions of the inspectors conducting veterinary inspections of third countries establishments. It also authorizes competent authorities to exclude enterprises that have not supplied the goods (products) under control to the customs territory of the Eurasian Economic Union for five years from the Registry of Establishments authorized to export to the the Eurasian Economic Union. The draft also specifies the conditions under which exports of the goods (products) under control from a third-country enterprise are subject to suspension. As well, the draft determines the procedure for the initiator of a joint verification (inspection) of third-country enterprises with respect to the suspension of exports from the enterprises that refuse to carry out verification (inspection) though being selected for it.</t>
  </si>
  <si>
    <d:r xmlns:d="http://schemas.openxmlformats.org/spreadsheetml/2006/main">
      <d:rPr>
        <d:sz val="11"/>
        <d:rFont val="Calibri"/>
      </d:rPr>
      <d:t xml:space="preserve">https://members.wto.org/crnattachments/2024/SPS/RUS/24_04524_00_x.pdf
https://members.wto.org/crnattachments/2024/SPS/RUS/24_04524_01_x.pdf
https://docs.eaeunion.org/ria/ru-ru/0106784/ria_05072024</d:t>
    </d:r>
  </si>
  <si>
    <t>Measures for the Supervision and Administration of Quarantine of Medicinal Materials for Entry and Exit</t>
  </si>
  <si>
    <t>1. Stipulate the scope of varieties of medicinal materials entering and leaving the country;2. Stipulate the registration of overseas production, processing and storage units; Increase the requirement of overseas production enterprises to meet the requirements of the standards of the exporting countries or regions;3. Stipulate the requirements of the General Administration of Customs for product risk analysis of countries or regions that have resumed the export of medicinal materials to China for the first time or after the suspension, and add the circumstances of resumption after the suspension;4. It is stipulated that according to the interception of the epidemic at the port or the dynamics of the epidemic situation abroad, a retrospective review may be conducted on the types of medicinal materials that have been allowed to enter the country and the corresponding countries or regions of origin.</t>
  </si>
  <si>
    <t>Medicinal materials</t>
  </si>
  <si>
    <t>Territory protection; Human health</t>
  </si>
  <si>
    <d:r xmlns:d="http://schemas.openxmlformats.org/spreadsheetml/2006/main">
      <d:rPr>
        <d:sz val="11"/>
        <d:rFont val="Calibri"/>
      </d:rPr>
      <d:t xml:space="preserve">https://members.wto.org/crnattachments/2024/SPS/CHN/24_04513_00_x.pdf</d:t>
    </d:r>
  </si>
  <si>
    <t>Draft Notification of the Herbal Product Committee Re: The Criteria, Procedures and Conditions for a Display of Herbal Product Name for the Application of Product Registration, Notification or Listing as well as the Display of Herbal Product Labels and Package Inserts B.E.</t>
  </si>
  <si>
    <t>This draft notification is proposed to revise the Notification of the Herbal Product Committee Re: The Criteria, Procedures and Conditions for a Display of Herbal Product Name for the Application of Product Registration, Notification or Listing as well as the Display of Herbal Product Labels and Package Inserts B.E. 2564 (2021). The amendment includes criteria for naming herbal products, and labelling and package insert requirements for herbal products.</t>
  </si>
  <si>
    <t>Herbal products</t>
  </si>
  <si>
    <d:r xmlns:d="http://schemas.openxmlformats.org/spreadsheetml/2006/main">
      <d:rPr>
        <d:sz val="11"/>
        <d:rFont val="Calibri"/>
      </d:rPr>
      <d:t xml:space="preserve">https://members.wto.org/crnattachments/2024/TBT/THA/24_04521_00_x.pdf</d:t>
    </d:r>
  </si>
  <si>
    <t>National Food Safety Standard of the P.R.C.: Code of Practice for the reduction of 3-Monochloropropane-1,2- Diol Esters (3-MCPDEs) And Glycidyl Esters (GEs) in refined oils and food products made with refined oils</t>
  </si>
  <si>
    <t>This Code of Practice provides a guidance to prevent and reduce formation of 3-MCPDE and GE in refined oils (vegetable oils and fish oils) and food products made with refined oils (vegetable oils and fish oils).</t>
  </si>
  <si>
    <t>Oil</t>
  </si>
  <si>
    <t>151800 - Animal or vegetable fats and oils and their fractions, boiled, oxidised, dehydrated, sulphurised, blown, polymerised by heat in vacuum or in inert gas or otherwise chemically modified, inedible mixtures or preparations of animal or vegetable fats or oils or of fractions of different fats or oils, n.e.s.; 151790 - Edible mixtures or preparations of animal or vegetable fats or oils and edible fractions of different fats or oils (excl. fats, oils and their fractions, partly or wholly hydrogenated, inter-esterified, re-esterified or elaidinised, whether or not refined, but not further prepared, mixtures of olive oils and their fractions, and solid margarine); 151620 - Vegetable fats and oils and their fractions, partly or wholly hydrogenated, inter-esterified, re-esterified or elaidinised, whether or not refined, but not further prepared; 1515 - Fixed vegetable or microbial fats and oils, incl. jojoba oil, and their fractions, whether or not refined, but not chemically modified (excl. soya-bean, groundnut, olive, palm, sunflower-seed, safflower, cotton-seed, coconut, palm kernel, babassu, rape, colza and mustard oil); 1504 - Fats and oils and their fractions of fish or marine mammals, whether or not refined (excl. chemically modified)</t>
  </si>
  <si>
    <d:r xmlns:d="http://schemas.openxmlformats.org/spreadsheetml/2006/main">
      <d:rPr>
        <d:sz val="11"/>
        <d:rFont val="Calibri"/>
      </d:rPr>
      <d:t xml:space="preserve">https://members.wto.org/crnattachments/2024/SPS/CHN/24_04508_00_x.pdf</d:t>
    </d:r>
  </si>
  <si>
    <t>Commission Implementing Regulation (EU) 2024/1874 of 8 July 2024 amending Implementing Regulation (EU) 2020/2235 laying down rules for the application of Regulations (EU) 2016/429 and (EU) 2017/625 of the European Parliament and of the Council as regards model animal health certificates, model official certificates and model animal health/official certificates, for the entry into the Union and movements within the Union of consignments of certain categories of animals and goods, and official certification regarding such certificates (Text with EEA Relevance)</t>
  </si>
  <si>
    <t>The Implementing Regulation updates the model certificates for entry into the EU of gelatine, highly refined products and composite products intended for human consumption.</t>
  </si>
  <si>
    <t>Gelatine, highly refined products and composite products intended for human consumption</t>
  </si>
  <si>
    <t>350300 - Gelatin, whether or not in square or rectangular sheets, whether or not surface-worked or coloured, and gelatin derivatives; isinglass; other glues of animal origin (excl. those packaged as glue for retail sale and weighing net &lt;= 1 kg, and casein glues of heading 3501)</t>
  </si>
  <si>
    <d:r xmlns:d="http://schemas.openxmlformats.org/spreadsheetml/2006/main">
      <d:rPr>
        <d:sz val="11"/>
        <d:rFont val="Calibri"/>
      </d:rPr>
      <d:t xml:space="preserve">https://members.wto.org/crnattachments/2024/SPS/EEC/24_04541_00_e.pdf
https://members.wto.org/crnattachments/2024/SPS/EEC/24_04541_00_f.pdf
https://members.wto.org/crnattachments/2024/SPS/EEC/24_04541_00_s.pdf</d:t>
    </d:r>
  </si>
  <si>
    <t>Publication ofREC-LAB, issue 8, Procedure for the Recognition of Testing Laboratories to Test/Assess to Canadian Requirements,andREC-CB, issue 2Recognition Procedure and Requirements for Certification Bodies (CB).</t>
  </si>
  <si>
    <t>Notice is hereby given that Innovation, Science and Economic Development Canada (ISED) has published the following documents:REC-LAB, issue 8Procedure for the Recognition of Testing Laboratories to Test/Assess to Canadian Requirementswhich describes the criteria and procedure for recognition by Innovation, Science and Economic Development Canada (ISED) of testing laboratories to test/assess to Canadian requirements for telecommunications terminal equipment, radio apparatus and broadcasting equipment standards.REC-CB, issue 2Recognition Procedure and Requirements for Certification Bodies (CB) which specifies the recognition criteria and procedures used by Innovation, Science and Economic Development Canada (ISED) in the recognition of Canadian and foreign entities as certification bodies (CBs) under the terms of Mutual Recognition Agreements/Arrangements (MRAs) or any other equivalent agreement or arrangement, such as Free Trade Agreements, to certify products to ISED regulatory requirements.</t>
  </si>
  <si>
    <t>Radiocommunications (ICS 33.060); Electromagnetic compatibility (EMC) including radio interference (ICS 33.100).</t>
  </si>
  <si>
    <t>33.060 - Radiocommunications; 33.060 - Radiocommunications; 33.100 - Electromagnetic compatibility (EMC); 33.100 - Electromagnetic compatibility (EMC)</t>
  </si>
  <si>
    <t>Two year extension of transition period for inhibitor substances listed in the Agricultural Compounds and Veterinary Medicines (Inhibitor Substances) Order 2022 </t>
  </si>
  <si>
    <t>On 18 August 2022, New Zealand notified the TBT Committee of two interim measures and indicated its intent to bring inhibitors under the Agricultural Compounds and Veterinary Medicines Act 1997 (ACVM Act) (G/TBT/N/114 refers). These interim measures included:Agricultural Compounds and Veterinary Medicines (Inhibitor Substances) Order 2022 (the Order) that declares 46 inhibitor substances as ‘agricultural compounds’ and enables these substances to be registered under the ACVM Act; and Agricultural Compounds and Veterinary Medicines (Exemptions and Prohibited Substances) Amendment Regulations 2022 which provided a transition period of two years for the 46 inhibitor substances in the Order. In May 2024, Government agreed to extend the transition period for the inhibitor substances listed in the Order by two years. This will give more time for agrichemical companies to register their inhibitors under the ACVM Act. This extension of the transition period is operationalised in the Agricultural Compounds and Veterinary Medicines (Exemptions and Prohibited Substances) Amendment Regulations 2022 Amendment Regulations 2024 (Amendment Regulations 2024).You can see the Amendment Regulations 2024 hereAs indicated, the relevant changes to the ACVM Act which will add inhibitors to the central definition of 'agricultural compound' were notified in April 2024 under G/TBT/N/NZL/132. As set out in the description, on commencement of the [Regulatory Systems (Primary Industries) Amendment Bill], the interim measure (and therefore it’s extension) will be revoked and there will be a one-year transition for agrichemical companies to register their inhibitor substances used in New Zealand under the ACVM Act. </t>
  </si>
  <si>
    <t>46 inhibitor substances (as listed in the interim Order in Council). You can see the Order here</t>
  </si>
  <si>
    <t>Food Labeling Supervision and Management Measures (Draft for Comments)</t>
  </si>
  <si>
    <t>It has raised the minimum height requirements for the text and numbers marked on label, the requirements for labelling of the production dates and the shelf-life expiration dates, the requirements for labelling of food names, and the requirements for the prohibited contents on food labels. It has specified the textual and graphic labelling requirements to protect miniors, and specified the publishing requirements for the labelling information of food sold online.</t>
  </si>
  <si>
    <t>Food (including food additives), including pre-packaged food, bulk and on-the-spot food, edible agricultural products, irradiated food, genetically modified food, special food (health food, formula food for special medical purposes, infant formula food), imported food.</t>
  </si>
  <si>
    <d:r xmlns:d="http://schemas.openxmlformats.org/spreadsheetml/2006/main">
      <d:rPr>
        <d:sz val="11"/>
        <d:rFont val="Calibri"/>
      </d:rPr>
      <d:t xml:space="preserve">https://members.wto.org/crnattachments/2024/TBT/CHN/modification/24_04515_00_x.pdf</d:t>
    </d:r>
  </si>
  <si>
    <t>Regulation on Plant Quarantine</t>
  </si>
  <si>
    <t>The comment period for the updated Draft Regulation on Plant Quarantine  has been extended by 30 days upon request. Due to the wide scope and length of the Draft Plant Quarantine Regulation and the fact that the language of the Draft is Turkish, it has been decided to extend the comment period. The last comment date for the Draft Regulation on Plant Quarantine has been updated to 3 September 2024.</t>
  </si>
  <si>
    <t>Plants, plant products and other substances that are subject to plant health and quarantine</t>
  </si>
  <si>
    <t>06 - LIVE TREES AND OTHER PLANTS; BULBS, ROOTS AND THE LIKE; CUT FLOWERS AND ORNAMENTAL FOLIAGE; 07 - EDIBLE VEGETABLES AND CERTAIN ROOTS AND TUBERS; 08 - EDIBLE FRUIT AND NUTS; PEEL OF CITRUS FRUITS OR MELONS; 08 - EDIBLE FRUIT AND NUTS; PEEL OF CITRUS FRUITS OR MELONS; 07 - EDIBLE VEGETABLES AND CERTAIN ROOTS AND TUBERS; 06 - LIVE TREES AND OTHER PLANTS; BULBS, ROOTS AND THE LIKE; CUT FLOWERS AND ORNAMENTAL FOLIAGE</t>
  </si>
  <si>
    <t>Pests; Plant health; Modification of final date for comments; Territory protection; Certification, control and inspection; Certification, control and inspection; Plant health; Pests; Territory protection</t>
  </si>
  <si>
    <t>National Food Safety Standard of the P.R.C.: Food additive Ammonium Carbonate</t>
  </si>
  <si>
    <t>This standard is applicable to the food additive ammonium carbonate, which is prepared from ammonia, carbon dioxide and water by absorption, crystallization, separation, drying and cooling, consists of ammonium carbamate, ammonium carbonate and ammonium hydrogen carbonate in varying proportions. It specifies the technical requirements and testing methods for food additive ammonium carbonate.</t>
  </si>
  <si>
    <t>Food additive Ammonium carbonate</t>
  </si>
  <si>
    <d:r xmlns:d="http://schemas.openxmlformats.org/spreadsheetml/2006/main">
      <d:rPr>
        <d:sz val="11"/>
        <d:rFont val="Calibri"/>
      </d:rPr>
      <d:t xml:space="preserve">https://members.wto.org/crnattachments/2024/SPS/CHN/24_04506_00_x.pdf</d:t>
    </d:r>
  </si>
  <si>
    <t>National Standard of the P.R.C., Electrical Safety Requirement for Electric Bicycles</t>
  </si>
  <si>
    <t>The requirements for electric bicycle charger form  have been added, and some contents of the standard have been partly revised, including the application scope, terms and definitions, test methods, temperature abnormal alarm and etc.. </t>
  </si>
  <si>
    <t>Electric bicycles</t>
  </si>
  <si>
    <t>43.150 - Cycles; 43.150 - Cycles</t>
  </si>
  <si>
    <d:r xmlns:d="http://schemas.openxmlformats.org/spreadsheetml/2006/main">
      <d:rPr>
        <d:sz val="11"/>
        <d:rFont val="Calibri"/>
      </d:rPr>
      <d:t xml:space="preserve">https://members.wto.org/crnattachments/2024/TBT/CHN/modification/24_04514_00_x.pdf</d:t>
    </d:r>
  </si>
  <si>
    <t>National Food Safety Standard of the P.R.C.: Food additive Acorn shell brown </t>
  </si>
  <si>
    <t>This standard applies to food additive acorn shell brown using f acorn shell as raw materials to extract by aqueous solution, then separation, concentration and drying. It specifies the technical requirements and testing methods for the food additive acorn shell brown.</t>
  </si>
  <si>
    <t>Food additive Acorn shell brown</t>
  </si>
  <si>
    <d:r xmlns:d="http://schemas.openxmlformats.org/spreadsheetml/2006/main">
      <d:rPr>
        <d:sz val="11"/>
        <d:rFont val="Calibri"/>
      </d:rPr>
      <d:t xml:space="preserve">https://members.wto.org/crnattachments/2024/SPS/CHN/24_04507_00_x.pdf</d:t>
    </d:r>
  </si>
  <si>
    <t>National Food Safety Standard of the P.R.C.: Cooked Meat</t>
  </si>
  <si>
    <t>This standard applies to cooked meat. This standard stipulates the terms, definitions, technical requirements etc.</t>
  </si>
  <si>
    <t>Dried meat products</t>
  </si>
  <si>
    <t>0210 - Meat and edible offal, salted, in brine, dried or smoked; edible flours and meals of meat or meat offal; 0209 - Pig fat, free of lean meat, and poultry fat, not rendered or otherwise extracted, fresh, chilled, frozen, salted, in brine, dried or smoked</t>
  </si>
  <si>
    <d:r xmlns:d="http://schemas.openxmlformats.org/spreadsheetml/2006/main">
      <d:rPr>
        <d:sz val="11"/>
        <d:rFont val="Calibri"/>
      </d:rPr>
      <d:t xml:space="preserve">https://members.wto.org/crnattachments/2024/SPS/CHN/24_04511_00_x.pdf</d:t>
    </d:r>
  </si>
  <si>
    <t>The Environmental Protection (Single-use Vapes) Regulations (Northern Ireland) 2024</t>
  </si>
  <si>
    <t>These regulations will apply to all businesses that operate in Northern Ireland.These regulations will introduce a ban on the sale and supply of: single-use electronic cigarettes that are not rechargeable, not refillable or are neither rechargeable nor refillable.single-use electronic cigarettes retaining both nicotine containing e-liquid and non-nicotine containing e-liquid.The restriction will not apply to devices that are both: (1) refillable and contain a single-use container which is separately available and can be replaced by an individual user in the normal course of use, or a container which can be refilled by an individual user in the normal course of use.(2) and that are rechargeable within the meaning of the definition in the regulation.Breach of these prohibitions will be an offence under the regulations. The regulations confer powers on enforcement authorities to investigate offences under the regulations, which may then be referred for criminal prosecution.</t>
  </si>
  <si>
    <t>HS 24.04 Products containing tobacco, reconstituted tobacco, nicotine, or tobacco or nicotine substitutes, intended for inhalation without combustion; other nicotine containing products intended for the intake of nicotine into the human body – products intended for inhalation without combustion.Nicotine-containing disposable electronic cigarettes (HS 2404.12 - Other, containing nicotine)Non-nicotine containing disposable electronic cigarettes (HS 2404.19 – Other)</t>
  </si>
  <si>
    <t>240412 - Products containing nicotine, intended for inhalation without combustion (excl. containing tobacco or reconstituted tobacco); 240419 - Products containing tobacco or nicotine substitutes, intended for inhalation without combustion (excl. containing nicotine)</t>
  </si>
  <si>
    <d:r xmlns:d="http://schemas.openxmlformats.org/spreadsheetml/2006/main">
      <d:rPr>
        <d:sz val="11"/>
        <d:rFont val="Calibri"/>
      </d:rPr>
      <d:t xml:space="preserve">https://members.wto.org/crnattachments/2024/TBT/GBR/24_04459_00_e.pdf</d:t>
    </d:r>
  </si>
  <si>
    <t>Resolución Exenta No 4602/2024 que "Establece requisitos fitosanitarios para la importación de granos de canola (Brassica napus L., Brassica rapa L. y Brassica juncea (L.)) procedentes de Canadá y modifica Resolución No 8.308 de 2020" (Exempt Resolution No. 4602/2024 establishing phytosanitary requirements for the importation of canola (Brassica napus L., Brassica rapa L. and Brassica juncea (L.)) seeds from Canada and amending Resolution No. 8.308 of 2020) Chile hereby advises that Exempt Resolution No. 4602/2024 establishing phytosanitary requirements for the importation of canola (Brassica napus L., Brassica rapa L. and Brassica juncea (L.)) seeds from Canada and amending Resolution No. 8.308 of 2020 will enter into force on 15 July 2024. https://members.wto.org/crnattachments/2024/SPS/CHL/24_04498_00_s.pdf</t>
  </si>
  <si>
    <t>Granos de canola (Brassica napus L., Brassica rapa L. y Brassica juncea (L.))</t>
  </si>
  <si>
    <t>120510 - Low erucic acid rape or colza seeds "yielding a fixed oil which has an erucic acid content of &lt; 2% and yielding a solid component of glucosinolates of &lt; 30 micromoles/g"; 120510 - Low erucic acid rape or colza seeds "yielding a fixed oil which has an erucic acid content of &lt; 2% and yielding a solid component of glucosinolates of &lt; 30 micromoles/g"</t>
  </si>
  <si>
    <d:r xmlns:d="http://schemas.openxmlformats.org/spreadsheetml/2006/main">
      <d:rPr>
        <d:sz val="11"/>
        <d:rFont val="Calibri"/>
      </d:rPr>
      <d:t xml:space="preserve">https://members.wto.org/crnattachments/2024/SPS/CHL/24_04498_00_s.pdf</d:t>
    </d:r>
  </si>
  <si>
    <t>National Food Safety Standard of the P.R.C.: Food additive L-malic acid</t>
  </si>
  <si>
    <t>This standard is applicable to food additive L-malic acid produced by enzyme engineering method and fermentation method. The technical requirements and test methods for L-malic acid are mainly specified.</t>
  </si>
  <si>
    <t>Food additive L-malic acid</t>
  </si>
  <si>
    <d:r xmlns:d="http://schemas.openxmlformats.org/spreadsheetml/2006/main">
      <d:rPr>
        <d:sz val="11"/>
        <d:rFont val="Calibri"/>
      </d:rPr>
      <d:t xml:space="preserve">https://members.wto.org/crnattachments/2024/SPS/CHN/24_04503_00_x.pdf</d:t>
    </d:r>
  </si>
  <si>
    <t>Draft Resolution of the Cabinet of Ministers of Ukraine "On Amendments to Annex 1 of the Technical Regulation for Aerosol Dispensers" </t>
  </si>
  <si>
    <t>Ukraine notifies the adoption of the Resolution of the Cabinet of Ministers of Ukraine No. 763   "On Amendments to Annex 1 of the Technical Regulation for Aerosol Dispensers"  of 28 June 2024.The Resolution  was published on 10 July 2024  and will enter into force on 01 January 2025.</t>
  </si>
  <si>
    <t>aerosol dispensers</t>
  </si>
  <si>
    <t>55.130 - Aerosol containers; 55.130 - Aerosol containers</t>
  </si>
  <si>
    <d:r xmlns:d="http://schemas.openxmlformats.org/spreadsheetml/2006/main">
      <d:rPr>
        <d:sz val="11"/>
        <d:rFont val="Calibri"/>
      </d:rPr>
      <d:t xml:space="preserve">https://members.wto.org/crnattachments/2024/TBT/UKR/final_measure/24_04497_00_x.pdf</d:t>
    </d:r>
  </si>
  <si>
    <t>Sweden</t>
  </si>
  <si>
    <t>Proposal for an act amending the Alcohol Act (2010:1622)(Förslag till lag om ändring i alkohollagen (2010:1622))</t>
  </si>
  <si>
    <t>The proposal is that a provision be introduced in Chapter 5, Section 2, second paragraph, of the Alcohol Act that allows a person with farm sales authorisation to retail self-produced alcoholic beverages pursuant to the provisions in the Alcohol Act’s proposed new Chapter 5a on farm sales. The new Chapter 5a includes provisions on requirements and conditions to be granted authorisation for farm sales. Farm sales authorisation can only be granted to independent manufacturers that professionally produce alcoholic beverages themselves. The manufacturers’ annual production rates cannot exceed 75 000 litres of spirit drinks, 400 000 litres of fermented alcoholic beverages of up to 10 per cent alcohol by volume, or 200 000 litres fermented alcoholic beverages of more than 10 per cent alcohol by volume. Manufacturers of wine should also produce their wine exclusively from grapes from their own vines. Farm sales may only be conducted from a commercial site, which is the location where the majority of the alcoholic beverages were produced. The commercial site for wine manufacturers could alternatively be the location where the majority of the grapes were grown. Farm sales are only permitted to consumers who take part in visits arranged by the permit holder in relation to the relevant alcoholic beverage. The visit must be conducted in close proximity to the commercial site. The visit must have an educational component, and be of a certain duration and offered to consumers for a fee. For farm sales, the sales to each individual consumer on each visit may not exceed 0.7 litres of spirit drinks, 3 litres of wine, 3 litres strong beer or 3 litres of other fermented alcoholic beverages. The price of the alcoholic beverages and the visit may not be lower than the cost of production and prime cost respectively, in addition to a reasonable mark-up. Furthermore, Chapter 5a includes provisions on the permit procedure, self-monitoring and submission of information, permit time restrictions, limited times of sale and requirements for information on the harmful effects of alcohol. In Chapter 8, Section 7, second paragraph, of the Alcohol Act, the proposal states that those who have farm sales authorisation be allowed to offer tastings of the self-produced alcoholic beverages. In Chapter 9 of the Alcohol Act, the proposal states that certain rules on monitoring should apply to farm sales as well. The general provisions on age limits and criminal liability in the Alcohol Act also apply to farm sales.Unofficial translations will be available via the EU TRIS-database” https://technical-regulation-information-system.ec.europa.eu/sv/notification/26051</t>
  </si>
  <si>
    <t>Self-produced alcoholic beverages (farm sales authorisation) Small-scale production of alcoholic beverages (farm sales authorisation) </t>
  </si>
  <si>
    <t>2203 - Beer made from malt.; 2204 - Wine of fresh grapes, incl. fortified wines; grape must, partly fermented and of an actual alcoholic strength of &gt; 0,5% vol or grape must with added alcohol of an actual alcoholic strength of &gt; 0,5% vol; 2205 - Vermouth and other wine of fresh grapes, flavoured with plants or aromatic substances; 2206 - Other fermented beverages (for example, cider, perry, mead, saké); mixtures of fermented beverages and mixtures of fermented beverages and non-alcoholic beverages, not elsewhere specified or included.</t>
  </si>
  <si>
    <d:r xmlns:d="http://schemas.openxmlformats.org/spreadsheetml/2006/main">
      <d:rPr>
        <d:sz val="11"/>
        <d:rFont val="Calibri"/>
      </d:rPr>
      <d:t xml:space="preserve">https://members.wto.org/crnattachments/2024/TBT/SWE/24_04517_00_e.pdf
https://members.wto.org/crnattachments/2024/TBT/SWE/24_04517_00_x.pdf</d:t>
    </d:r>
  </si>
  <si>
    <t>Technical Regulations for Electric Vehicles 03-04-17-162</t>
  </si>
  <si>
    <t>The updating covers the following: - Amendments to Article (1) Terms and Definitions.- Amendments to Article (2) Scope.- Amendments to Article (3) Objectives.- Amendments to Article (4) Supplier Obligations.- Amendments to Article (5) Conformity Assessment Procedures.- Amendments to Article (8) Violations And Penalties.- Amendments to Article (10) Transitional Provisions.- Amendments to Annex (1-A), list of relevant standards.- Amendments to Annex 2: Essential requirements for electric vehicles.- Adding Annex No. (3) Electrical charging connectors.</t>
  </si>
  <si>
    <t>(HS code(s): 7009; 8301; 8302; 8501; 8504; 8507; 8511; 8512; 8526; 8527; 8536; 8544; 8702; 8703)</t>
  </si>
  <si>
    <t>7009 - Glass mirrors, whether or not framed, incl. rear-view mirrors (excl. optical mirrors, optically worked, mirrors &gt; 100 years old); 8301 - Padlocks and locks "key, combination or electrically operated", of base metal; clasps and frames with clasps, incorporating locks, of base metal; keys for any of the foregoing articles, of base metal; 8302 - 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 8501 - Electric motors and generators (excl. generating sets); 8504 - Electrical transformers, static converters, e.g. rectifiers, and inductors; parts thereof; 8511 - Electrical ignition or starting equipment of a kind used for spark-ignition or compression-ignition internal combustion engines, e.g. ignition magnetos, magneto-dynamos, ignition coils, sparking plugs, glow plugs and starter motors; generators, e.g. dynamos and alternators, and cut-outs of a kind used in conjunction with such engines; parts thereof; 8512 - Electrical lighting or signalling equipment (excl. lamps of heading 8539), windscreen wipers, defrosters and demisters, of a kind used for cycles or motor vehicles; parts thereof; 8526 - Radar apparatus, radio navigational aid apparatus and radio remote control apparatus; 8527 - Reception apparatus for radio-telephony, radio-telegraphy or radio-broadcasting, whether or not combined, in the same housing, with sound recording or reproducing apparatus or a clock; 8536 - Electrical apparatus for switching or protecting electrical circuits, or for making connections to or in electrical circuits, e.g., switches, relays, fuses, surge suppressors, plugs, sockets, lamp-holders and junction boxes, for a voltage &lt;= 1.000 V (excl. control desks, cabinets, panels etc. of heading 8537); 8544 - Insulated "incl. enamelled or anodised" wire, cable "incl. coaxial cable" and other insulated electric conductors, whether or not fitted with connectors; optical fibre cables, made-up of individually sheathed fibres, whether or not assembled with electric conductors or fitted with connectors; 8703 - Motor cars and other motor vehicles principally designed for the transport of persons, incl. station wagons and racing cars (excl. motor vehicles of heading 8702); 8702 - Motor vehicles for the transport of &gt;= 10 persons, incl. driver; 8507 - Electric accumulators, incl. separators therefor, whether or not rectangular or square; parts thereof (excl. spent and those of unhardened rubber or textiles)</t>
  </si>
  <si>
    <t>43.120 - Electric road vehicles</t>
  </si>
  <si>
    <t>Prevention of deceptive practices and consumer protection (TBT); Protection of human health or safety (TBT); Protection of the environment (TBT); Other (TBT)</t>
  </si>
  <si>
    <d:r xmlns:d="http://schemas.openxmlformats.org/spreadsheetml/2006/main">
      <d:rPr>
        <d:sz val="11"/>
        <d:rFont val="Calibri"/>
      </d:rPr>
      <d:t xml:space="preserve">https://members.wto.org/crnattachments/2024/TBT/SAU/24_04481_00_x.pdf</d:t>
    </d:r>
  </si>
  <si>
    <t>Partial revision of Radio Equipment Regulations etc.</t>
  </si>
  <si>
    <t>As announced in G/TBT/N/JPN/789 dated 11 December 2023, the revisions entered into force on 23 May, 2024. The texts of the amendments in Japanese are available on the following website of the Ministry of Internal Affairs and Communications.https://www.soumu.go.jp/main_content/000947396.pdf</t>
  </si>
  <si>
    <t>Radio equipment for advanced UHF-band terrestrial digital television broadcasting</t>
  </si>
  <si>
    <d:r xmlns:d="http://schemas.openxmlformats.org/spreadsheetml/2006/main">
      <d:rPr>
        <d:sz val="11"/>
        <d:rFont val="Calibri"/>
      </d:rPr>
      <d:t xml:space="preserve">Ministerial ordinance for partial revision of Radio Equipment Regulations etc.  (Ministerial ordinance of the Ministry of Internal Affairs and Communications
 No.47 of 2024.)
https://www.soumu.go.jp/main_content/000947396.pdf</d:t>
    </d:r>
  </si>
  <si>
    <t>Revocation of Authorization for Use of Brominated Vegetable Oil in Food; Final Rule</t>
  </si>
  <si>
    <t>The Food and Drug Administration (FDA or we) is amending our regulations to revoke the authorization for the use of brominated vegetable oil (BVO) in food. This action is being taken because there is no longer a reasonable certainty of no harm from the continued use of BVO in food. Specifically, the final rule revokes the authorization for the use of BVO as a food ingredient intended to stabilize flavouring oils in fruit-flavoured beverages. There are no authorizations for other uses of BVO in food.The rule is effective 2 August 2024. For the applicable compliance date, see section VII “Effective/ Compliance Dates” in the SUPPLEMENTARY INFORMATION section.</t>
  </si>
  <si>
    <t>Waters, including mineral waters and aerated waters, containing added sugar or other sweetening matter or flavoured, and other non-alcoholic beverages (excluding fruit, nut or vegetable juices and milk) (HS code(s): 2202)</t>
  </si>
  <si>
    <t>2202 - Waters, incl. mineral waters and aerated waters, containing added sugar or other sweetening matter or flavoured, and other non-alcoholic beverages (excl. fruit, nut or vegetable juices and milk); 2202 - Waters, incl. mineral waters and aerated waters, containing added sugar or other sweetening matter or flavoured, and other non-alcoholic beverages (excl. fruit, nut or vegetable juices and milk)</t>
  </si>
  <si>
    <d:r xmlns:d="http://schemas.openxmlformats.org/spreadsheetml/2006/main">
      <d:rPr>
        <d:sz val="11"/>
        <d:rFont val="Calibri"/>
      </d:rPr>
      <d:t xml:space="preserve">https://members.wto.org/crnattachments/2024/SPS/USA/24_04454_00_e.pdf
https://www.federalregister.gov/documents/2024/07/03/2024-14300/revocation-of-authorization-for-use-of-brominated-vegetable-oil-in-food</d:t>
    </d:r>
  </si>
  <si>
    <t>Proyecto de Norma Oficial Mexicana PROY-NOM-174-SEMARNAT-2024, Límites máximos permisibles de emisión de contaminantes provenientes del escape de los motores nuevos incorporados o a ser instalados en maquinaria móvil nueva no de carretera, que usan diésel como combustible (Draft Mexican Official Standard PROY-NOM-174-SEMARNAT-2024: Maximum permissible levels for emissions of pollutants from the exhausts of new engines incorporated or to be installed in new diesel-powered non-road mobile machinery) (10 pages, in Spanish)</t>
  </si>
  <si>
    <t xml:space="preserve">• The purpose of this draft Mexican Official Standard is to establish the maximum permissible levels for emissions of carbon monoxide (CO), hydrocarbons (HC), non-methane hydrocarbons (NMHC), hydrocarbons plus nitrogen oxides (HC+NOx), non-methane hydrocarbons plus nitrogen oxides (NMHC+NOx), nitrogen oxides (NOx) and particulate matter (PM) from the exhausts of new engines incorporated or to be installed in new diesel-powered non-road mobile machinery. • The notified draft Mexican Official Standard is applicable throughout Mexican territory and is binding on manufacturers and importers of new engines G/TBT/N/MEX/532 - 2 -   incorporated or to be installed in new non-road mobile machinery, and for new diesel-powered variable-speed non-road mobile machinery of a net power of between 19 and 560 kilowatts and equipped with this type of engine. • It does not apply to engines used for the generation of electric energy or for the propulsion of locomotives, railroad equipment that runs on rails, ships or aircraft. • It does not apply to agricultural machinery.</t>
  </si>
  <si>
    <t>New engines incorporated or to be installed in new diesel-powered non-road mobile machinery.</t>
  </si>
  <si>
    <t>13.040.50 - Transport exhaust emissions; 43.060 - Internal combustion engines for road vehicles</t>
  </si>
  <si>
    <d:r xmlns:d="http://schemas.openxmlformats.org/spreadsheetml/2006/main">
      <d:rPr>
        <d:sz val="11"/>
        <d:rFont val="Calibri"/>
      </d:rPr>
      <d:t xml:space="preserve">https://members.wto.org/crnattachments/2024/TBT/MEX/24_04475_00_s.pdf</d:t>
    </d:r>
  </si>
  <si>
    <t>Notification of the Ministry of Public Health on the Determination of the Level of Active Ingredients of Hazardous Substances under the Responsibility of the Food and Drug Administration that are considered Counterfeit Hazardous Substances B.E. 2567 (2024)</t>
  </si>
  <si>
    <t>This Notification determines that the hazardous substances, under the responsibility of the Food and Drug Administration are considered counterfeits hazardous substances if such hazardous substances contain active ingredients less than 20 percent from the lowest levels or more than 20 percent from the highest levels of the allowed deviated levels of active ingredients, designated in the Notification of the Ministry of Public Health Re: Tolerance for the Deviations of Active Ingredients in Hazardous Substances.  </t>
  </si>
  <si>
    <t>Hazardous Substances</t>
  </si>
  <si>
    <d:r xmlns:d="http://schemas.openxmlformats.org/spreadsheetml/2006/main">
      <d:rPr>
        <d:sz val="11"/>
        <d:rFont val="Calibri"/>
      </d:rPr>
      <d:t xml:space="preserve">https://members.wto.org/crnattachments/2024/TBT/THA/24_04436_00_x.pdf</d:t>
    </d:r>
  </si>
  <si>
    <t>The implementation of the "Quarantine requirements for the importation of fresh apples from Canada"</t>
  </si>
  <si>
    <t>The Separate Customs Territory of Taiwan, Penghu, Kinmen and Matsu notified the draft of the "Quarantine requirements for the importation of fresh apples from Canada" on 27 February 2024 (G/SPS/N/TPKM/623). The regulation was published and became effective on 28 June 2024.</t>
  </si>
  <si>
    <t>Fresh apples</t>
  </si>
  <si>
    <t>080810 - Fresh apples; 20 - PREPARATIONS OF VEGETABLES, FRUIT, NUTS OR OTHER PARTS OF PLANTS; 080810 - Fresh apples; 20 - PREPARATIONS OF VEGETABLES, FRUIT, NUTS OR OTHER PARTS OF PLANTS</t>
  </si>
  <si>
    <t>01 - GENERALITIES. TERMINOLOGY. STANDARDIZATION. DOCUMENTATION; 01 - Generalities. Terminology. Standardization. Documentation</t>
  </si>
  <si>
    <t>Territory protection; Pests; Plant health; Adoption/publication/entry into force of reg.; Pests; Territory protection; Plant health</t>
  </si>
  <si>
    <t>Draft Notification of the Ministry of Public Health Re: List of Textbooks on Herbal Products 2nd edition) B.E….</t>
  </si>
  <si>
    <t>Amendments to the Notification of the Ministry of Public Health Re: List of Textbooks on Herbal Products B.E. 2565 (2022) are made to revise as follows; Clause 2 This notification shall come into force as from the day following the date of its publication in the Government Gazette. Clause 3 The text stated in (3.3) of Clause 3 of the Notification of the Ministry of Public Health Re: List of Textbooks on Herbal Products B.E. 2565 (2022) shall be repealed and replaced with the following text:“Thai Herbal Preparation Pharmacopoeia 2022 or the latest version”  Clause 4 The text stated in (3.4) of Clause 3 of the Notification of the Ministry of Public Health Re: List of Textbooks on Herbal Products B.E. 2565 (2022) shall be repealed and replaced with the following text: “(1) Thai Herbal Pharmacopoeia 2021 and Supplements or the latest version.”  Clause 5 The text stated in (3.5) of Clause 3 of the Notification of the Ministry of Public Health Re: List of Textbooks on Herbal Products B.E. 2565 (2022) shall be repealed and replaced with the following text:“(1) Thai Pharmacopoeia II, Volume I, Part 1 and Supplements or the latest version.(2) The Eleventh Edition of International Pharmacopoeia, 2022 online edition and Supplements or the latest version.(3) The United States Pharmacopeia and The National Formulary, 2024, online edition or the latest version.(4) British Pharmacopoeia 2024 Volume I - V or the latest version.(5) The Eleventh Edition of The European Pharmacopoeia, 2023 and Supplements or the latest version.”  Clause 6 The following text shall be added as Clause 4 of the Notification of the Ministry of Public Health Re: List of Textbooks on Herbal Products B.E. 2565 (2022), dated 3 February B.E. 2565 (2022)“In case of the availability of online edition of textbooks as stated in Clause 3, it shall be acceptable as textbooks on herbal products”</t>
  </si>
  <si>
    <d:r xmlns:d="http://schemas.openxmlformats.org/spreadsheetml/2006/main">
      <d:rPr>
        <d:sz val="11"/>
        <d:rFont val="Calibri"/>
      </d:rPr>
      <d:t xml:space="preserve">https://members.wto.org/crnattachments/2024/TBT/THA/24_04445_00_x.pdf</d:t>
    </d:r>
  </si>
  <si>
    <t>PROYECTO de Norma Oficial Mexicana PROY-NOM-259-SE-2021, Sistemas para medición y despacho de Gas L.P., requisitos y especificaciones (Draft Mexican Official Standard PROY-NOM-259-SE-2021: Systems for measuring and dispensing LPG, requirements and specifications)</t>
  </si>
  <si>
    <t>The purpose of this addendum is to announce the publication, in the Official Journal, of the final version of Mexican Official Standard NOM-259-SE-2022: Systems for measuring and dispensing LPG, requirements and specifications. __________</t>
  </si>
  <si>
    <t>Systems for measuring and dispensing liquefied petroleum gas (LPG)</t>
  </si>
  <si>
    <t>17.120 - Measurement of fluid flow; 17.120 - Measurement of fluid flow</t>
  </si>
  <si>
    <t>National security requirements (TBT); Prevention of deceptive practices and consumer protection (TBT); Protection of human health or safety (TBT)</t>
  </si>
  <si>
    <t>Metrology; Metrology</t>
  </si>
  <si>
    <d:r xmlns:d="http://schemas.openxmlformats.org/spreadsheetml/2006/main">
      <d:rPr>
        <d:sz val="11"/>
        <d:rFont val="Calibri"/>
      </d:rPr>
      <d:t xml:space="preserve">https://members.wto.org/crnattachments/2024/TBT/MEX/final_measure/24_04471_00_s.pdf
https://www.dof.gob.mx/nota_detalle.php?codigo=5731801&amp;fecha=28/06/2024#gsc.tab=0</d:t>
    </d:r>
  </si>
  <si>
    <t>Resolution of the Cabinet of Ministers of Ukraine No 736 "On Approval of the Procedure for the Establishment and Administration of the Chemical Safety Information System" of  21 June 2024 </t>
  </si>
  <si>
    <t xml:space="preserve">This Procedure outlines the process for establishing, administration and functioning the Chemical Safety Information System, which is maintained as an electronic database in order to ensure proper accounting, reporting, aggregation and analysis of information in the field of chemical safety and chemical product management, provision of electronic public services, maintenance and publishing of registers and lists, as well as ensuring information exchange between entities involved in chemical safety and chemical product management._x000D_
The Chemical Safety Information System enables business entities to submit documents electronically to obtain permits. Its administrative services subsystem provides electronic public services, including the state registration of chemicals. This subsystem ensures the receipt of applications and attached documents in the form of a technical dossier, verification of the completeness of the information provided, assignment of registration numbers and dates, and recording of relevant data in the State Register of Chemicals.</t>
  </si>
  <si>
    <t>chemical products </t>
  </si>
  <si>
    <d:r xmlns:d="http://schemas.openxmlformats.org/spreadsheetml/2006/main">
      <d:rPr>
        <d:sz val="11"/>
        <d:rFont val="Calibri"/>
      </d:rPr>
      <d:t xml:space="preserve">https://members.wto.org/crnattachments/2024/TBT/UKR/24_04433_00_e.pdf
https://members.wto.org/crnattachments/2024/TBT/UKR/24_04433_00_x.pdf</d:t>
    </d:r>
  </si>
  <si>
    <t>DEAS 324: 2023, Copper/chromium/arsenic compositions for the preservation of timber — Method for timber treatment, Second Edition</t>
  </si>
  <si>
    <t>Burundi, Kenya, Rwanda, Tanzania and Uganda would like to inform WTO Members that the Draft East African Standard; DEAS 324: 2023, Copper/chromium/arsenic compositions for the preservation of timber — Method for timber treatment, Second Edition; notified in G/TBT/N/BDI/361, G/TBT/N/KEN/1441, G/TBT/N/RWA/872, G/TBT/N/TZA/975 and G/TBT/N/UGA/1777 was adopted by the East African Community Council of Ministers on 14 June 2024.</t>
  </si>
  <si>
    <t>Copper ores and concentrates. (HS code(s): 2603); Chromium ores and concentrates. (HS code(s): 2610); Arsenic (HS code(s): 280480); Chromium ores (ICS code(s): 73.060.30); Copper products (ICS code(s): 77.150.30)</t>
  </si>
  <si>
    <t>280480 - Arsenic; 2610 - Chromium ores and concentrates.; 2603 - Copper ores and concentrates.; 2610 - Chromium ores and concentrates.; 2603 - Copper ores and concentrates.; 280480 - Arsenic</t>
  </si>
  <si>
    <t>73.060.30 - Chromium ores; 77.150.30 - Copper products; 73.060.30 - Chromium ores; 77.150.30 - Copper products</t>
  </si>
  <si>
    <t>Protection of human health or safety (TBT); Protection of human health or safety (TBT); Protection of animal or plant life or health (TBT); Protection of animal or plant life or health (TBT); Protection of the environment (TBT); Protection of the environment (TBT); Harmonization (TBT); Harmonization (TBT); Reducing trade barriers and facilitating trade (TBT); Reducing trade barriers and facilitating trade (TBT)</t>
  </si>
  <si>
    <t xml:space="preserve">The proposed amendments to the ”Regulation on Safety of Pharmaceuticals, etc.” are as follows:_x000D_
A. Simplification of submission for Good Manufacturing Practice (GMP) conformity assessment (Article 4, 48-bis of the draft, and attached Form 4) _x000D_
- 11 GMP submission requirements for Marketing Authorization will be simplified into 4 requirements including site master file, and in particular, for an imported API (biological product is excluded), the submission can be replaced with an internationally harmonized GMP certificate._x000D_
B. Simplification of API registration requirement (Article 15, 17 of the draft, attached Form 16 and 17) _x000D_
- Existing API registration requirement, manufacturer ‘s certificate of origin or GMP conformity assessment, will be replaced with an internationally harmonized GMP certificate._x000D_
C. Improvement of verification • inspection for extension of GMP certificate validity (Article 48-quarter of the draft)_x000D_
- A verification • inspection will be improved to extend the GMP certificate validity by verifying or inspecting by means other than on-site inspection, if the Minister of Food and Drug Safety recognizes that, for the reason including no history of significant change within the manufacturing site, as well as no natural disaster.</t>
  </si>
  <si>
    <t>Reducing trade barriers and facilitating trade (TBT)</t>
  </si>
  <si>
    <d:r xmlns:d="http://schemas.openxmlformats.org/spreadsheetml/2006/main">
      <d:rPr>
        <d:sz val="11"/>
        <d:rFont val="Calibri"/>
      </d:rPr>
      <d:t xml:space="preserve">https://members.wto.org/crnattachments/2024/TBT/KOR/24_04457_00_x.pdf</d:t>
    </d:r>
  </si>
  <si>
    <t xml:space="preserve">New Source Performance Standards (NSPS) for the Synthetic Organic 
Chemical Manufacturing Industry (SOCMI) and National Emission Standards 
for Hazardous Air Pollutants (NESHAP) for the SOCMI and Group I &amp; II 
Polymers and Resins Industry and NESHAP: Gasoline Distribution 
Technology Reviews and NSPS Review for Bulk Gasoline Terminals; 
Correction</t>
  </si>
  <si>
    <t xml:space="preserve">The Environmental Protection Agency (EPA) is correcting final rules that appeared in the Federal Register on 8 May 2024, and 16 May 2024 (notified as G/TBT/N/USA/1995/Add.2). This action corrects instructions allowing Office of Federal Register editors to codify the amendments from the rules. This action also includes express instructions to lift the stay of provisions granted on 2 June 2008 (73 FR 31372). The corrections to instructions in this document do not alter or change the content or text of any regulatory provision.The correction to 40 CFR 63.11099, at instruction 6, is effective 8 July 2024. The corrections to 40 CFR 60.481, 60.482-1, 60.481a, 60.482-1a, and 60.482-11a, at instructions 1 through 5, are effective 15 July 2024.89 Federal Register (FR) 55522, Title 40 Code of Federal Regulations (CFR) Parts 60 and 63_x000D_
https://www.govinfo.gov/content/pkg/FR-2024-07-05/html/2024-14678.htm_x000D_
https://www.govinfo.gov/content/pkg/FR-2024-07-05/pdf/2024-14678.pdfThis final rule; correction and previous actions notified under the symbol G/TBT/N/USA/1995 are identified by Docket Number EPA-HQ-OAR-2022-0730. The Docket Folder is available on Regulations.gov at https://www.regulations.gov/docket/EPA-HQ-OAR-2022-0730/document and provides access to primary and supporting documents as well as comments received. Documents are also accessible from Regulations.gov by searching the Docket Number.G/TBT/N/USA/2001 and subsequent addenda - New Source Performance Standards for Greenhouse Gas Emissions From New, Modified, and Reconstructed Fossil Fuel-Fired Electric Generating Units; Emission Guidelines for Greenhouse Gas Emissions From Existing Fossil Fuel-Fired Electric Generating Units; and Repeal of the Affordable Clean Energy Rule identified by Docket number EPA-HQ-OAR-2023-0072</t>
  </si>
  <si>
    <d:r xmlns:d="http://schemas.openxmlformats.org/spreadsheetml/2006/main">
      <d:rPr>
        <d:sz val="11"/>
        <d:rFont val="Calibri"/>
      </d:rPr>
      <d:t xml:space="preserve">https://members.wto.org/crnattachments/2024/TBT/USA/24_04429_00_e.pdf</d:t>
    </d:r>
  </si>
  <si>
    <t>Older infants and young children food</t>
  </si>
  <si>
    <t>This regulation describes the requirements for older infants and young children food.</t>
  </si>
  <si>
    <t>Older infants and young children food (ICS code: 67.040.00)</t>
  </si>
  <si>
    <d:r xmlns:d="http://schemas.openxmlformats.org/spreadsheetml/2006/main">
      <d:rPr>
        <d:sz val="11"/>
        <d:rFont val="Calibri"/>
      </d:rPr>
      <d:t xml:space="preserve">https://members.wto.org/crnattachments/2024/SPS/SAU/24_04431_00_x.pdf</d:t>
    </d:r>
  </si>
  <si>
    <t xml:space="preserve">New Source Performance Standards; Incorporation by Reference; 
Correction</t>
  </si>
  <si>
    <t xml:space="preserve">The Environmental Protection Agency (EPA) finalized multiple actions with incorporation by reference (IBR) in separate final rules that amended the same centralized IBR section. The amendatory instructions for that section were drafted based on a different publication order than the ultimate publication order of the affected rules. This rule corrects the instructions allowing Office of the Federal Register (OFR) editors to codify the amendments from each rule.The corrections in instructions 1 and 2 are effective 8 July 2024, and the corrections in instructions 3 and 4 are effective 15 July 2024.89 Federal Register (FR) 55521, Title 40 Code of Federal Regulations (CFR) Part 60_x000D_
https://www.govinfo.gov/content/pkg/FR-2024-07-05/html/2024-14407.htm_x000D_
https://www.govinfo.gov/content/pkg/FR-2024-07-05/pdf/2024-14407.pdfThis final rule; correction and previous actions notified under the symbol G/TBT/N/USA/1995 is identified by Docket Number EPA-HQ-OAR-2022-0730. The Docket Folder is available on Regulations.gov at https://www.regulations.gov/docket/EPA-HQ-OAR-2022-0730/document and provides access to primary and supporting documents as well as comments received. Documents are also accessible from Regulations.gov by searching the Docket Number.G/TBT/N/USA/2001 and subsequent addenda - New Source Performance Standards for Greenhouse Gas Emissions From New, Modified, and Reconstructed Fossil Fuel-Fired Electric Generating Units; Emission Guidelines for Greenhouse Gas Emissions From Existing Fossil Fuel-Fired Electric Generating Units; and Repeal of the Affordable Clean Energy Rule identified by Docket number EPA-HQ-OAR-2023-0072</t>
  </si>
  <si>
    <d:r xmlns:d="http://schemas.openxmlformats.org/spreadsheetml/2006/main">
      <d:rPr>
        <d:sz val="11"/>
        <d:rFont val="Calibri"/>
      </d:rPr>
      <d:t xml:space="preserve">https://members.wto.org/crnattachments/2024/TBT/USA/24_04428_00_e.pdf</d:t>
    </d:r>
  </si>
  <si>
    <t>Amendments to Technical Specification for Verification and Inspection of Diaphragm Gas Meters</t>
  </si>
  <si>
    <t>The purpose of this notification is to provide the final texts of "Amendments to Technical Specification for Verification and Inspection of Diaphragm Gas Meters" and relevant dates of its implementation.The draft texts notified in G/TBT/N/TPKM/533 were adopted with minor changes.</t>
  </si>
  <si>
    <t>Gas Meters (HS: 902810)</t>
  </si>
  <si>
    <d:r xmlns:d="http://schemas.openxmlformats.org/spreadsheetml/2006/main">
      <d:rPr>
        <d:sz val="11"/>
        <d:rFont val="Calibri"/>
      </d:rPr>
      <d:t xml:space="preserve">https://members.wto.org/crnattachments/2024/TBT/TPKM/final_measure/24_04477_00_e.pdf
https://members.wto.org/crnattachments/2024/TBT/TPKM/final_measure/24_04477_00_x.pdf</d:t>
    </d:r>
  </si>
  <si>
    <t>Amendment of Inmetro Ordinance nº 75, 4 February 2021</t>
  </si>
  <si>
    <t>National Institute of Metrology, Quality and Technology – Inmetro, issued the Ordinance No. 354, 5 July 2024 that amends the article 10 of Inmetro Ordinance nº 75, 4 February 2021 published in the Official Gazette of the Union on 11 February 2021, section 1, pages 65 to 69. </t>
  </si>
  <si>
    <t>Spring mattresses (HS: 9404)</t>
  </si>
  <si>
    <t>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pillows, blankets and covers); 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pillows, blankets and covers); 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pillows, blankets and covers)</t>
  </si>
  <si>
    <t>The Kingdom of Saudi Arabia/The Cooperation Council for the Arab States of the Gulf draft Technical Regulation for "Wheat Flour"</t>
  </si>
  <si>
    <t>This draft technical regulation applies to wheat flour for direct human consumption prepared from common wheat, triticum aestivum L., or club wheat, Triticum compactum host, or mixtures thereof, which is prepackaged ready for sale to the consumer or destined for use in other food products.</t>
  </si>
  <si>
    <t>Processes in the food industry(ICS code: 67.020)</t>
  </si>
  <si>
    <d:r xmlns:d="http://schemas.openxmlformats.org/spreadsheetml/2006/main">
      <d:rPr>
        <d:sz val="11"/>
        <d:rFont val="Calibri"/>
      </d:rPr>
      <d:t xml:space="preserve">https://members.wto.org/crnattachments/2024/SPS/SAU/24_04432_00_x.pdf</d:t>
    </d:r>
  </si>
  <si>
    <t>Resolución para regular la importación de plantas con raíz de Aguacate (Persea americana) originarias de Chile (Resolution regulating the importation of rooted avocado (Persea americana) plants originating in Chile) Costa Rica hereby advises that the phytosanitary measures notified in document G/SPS/N/CRI/268 have been adopted under Resolution No 053-2024-CV-ARP-2024 of the State Phytosanitary Service, Standards and Regulations Department, Pest Risk Analysis Unit, establishing phytosanitary requirements for the importation of rooted avocado (Persea americana) plants originating in Chile. The draft Resolution was circulated on 7 May 2024. The date of entry into force will be six months after signature of the final Resolution. https://members.wto.org/crnattachments/2024/SPS/CRI/24_04472_00_s.pdf</t>
  </si>
  <si>
    <t>Plantas con raíz de aguacate (Persea americana</t>
  </si>
  <si>
    <d:r xmlns:d="http://schemas.openxmlformats.org/spreadsheetml/2006/main">
      <d:rPr>
        <d:sz val="11"/>
        <d:rFont val="Calibri"/>
      </d:rPr>
      <d:t xml:space="preserve">https://members.wto.org/crnattachments/2024/SPS/CRI/24_04472_00_s.pdf</d:t>
    </d:r>
  </si>
  <si>
    <t xml:space="preserve">The Environmental Protection Agency (EPA) finalized multiple actions with incorporation by reference (IBR) in separate final rules that amended the same centralized IBR section. The amendatory instructions for that section were drafted based on a different publication order than the ultimate publication order of the affected rules. This rule corrects the instructions allowing Office of the Federal Register (OFR) editors to codify the amendments from each rule.The corrections in instructions 1 and 2 are effective 8 July 2024, and the corrections in instructions 3 and 4 are effective 15 July 2024.89 Federal Register (FR) 55521, Title 40 Code of Federal Regulations (CFR) Part 60_x000D_
https://www.govinfo.gov/content/pkg/FR-2024-07-05/html/2024-14407.htm_x000D_
https://www.govinfo.gov/content/pkg/FR-2024-07-05/pdf/2024-14407.pdfThis final rule; correction and previous actions notified under the symbol G/TBT/N/USA/2001 are identified by Docket Number EPA-HQ-OAR-2023-0072. The Docket Folder is available on Regulations.gov at https://www.regulations.gov/docket/EPA-HQ-OAR-2023-0072/document and provides access to primary and supporting documents as well as comments received. Documents are also accessible from Regulations.gov by searching the Docket Number.G/TBT/N/USA/1995 and subsequent addenda - New Source Performance Standards for the Synthetic Organic Chemical Manufacturing Industry and National Emission Standards for Hazardous Air Pollutants for the Synthetic Organic Chemical Manufacturing Industry and Group I &amp; II Polymers and Resins Industry identified by Docket number EPA-HQ-OAR-2022-0730</t>
  </si>
  <si>
    <t>Greenhouse gas emissions; new, modified, and reconstructed fossil fuel-fired electric generating units; Environmental protection (ICS code(s): 13.020); Air quality (ICS code(s): 13.040); Gas and steam turbines. Steam engines (ICS code(s): 27.040); Rotating machinery (ICS code(s): 29.160)</t>
  </si>
  <si>
    <t>13.020 - Environmental protection; 13.020 - Environmental protection; 13.040 - Air quality; 13.040 - Air quality; 27.040 - Gas and steam turbines. Steam engines; 27.040 - Gas and steam turbines. Steam engines; 29.160 - Rotating machinery; 29.160 - Rotating machinery; 13.020 - Environmental protection; 13.040 - Air quality; 27.040 - Gas and steam turbines. Steam engines; 29.160 - Rotating machinery</t>
  </si>
  <si>
    <d:r xmlns:d="http://schemas.openxmlformats.org/spreadsheetml/2006/main">
      <d:rPr>
        <d:sz val="11"/>
        <d:rFont val="Calibri"/>
      </d:rPr>
      <d:t xml:space="preserve">https://members.wto.org/crnattachments/2024/TBT/USA/24_04430_00_e.pdf</d:t>
    </d:r>
  </si>
  <si>
    <t>Proposed partial amendments to the ”Regulation on the Registration of Drug Substance</t>
  </si>
  <si>
    <t xml:space="preserve">The proposed amendments to the ”Regulation on the Registration of Drug Substance” are as follows:_x000D_
A. to clarify the expert in the medicine and pharmacy who reviewed  translated documents for registration of drug substance and allow English translation of submitted documents written in other foreign languages. (Article 3 of the draft)_x000D_
B. to simplify the requirement for registration of drug substance  by replacing Good Manufacturing Practice (GMP) inspection with submission of a GMP certificate and modify the relevant provisions (Article 4 and 5 of the draft and Annex 2)</t>
  </si>
  <si>
    <d:r xmlns:d="http://schemas.openxmlformats.org/spreadsheetml/2006/main">
      <d:rPr>
        <d:sz val="11"/>
        <d:rFont val="Calibri"/>
      </d:rPr>
      <d:t xml:space="preserve">https://members.wto.org/crnattachments/2024/TBT/KOR/24_04453_00_x.pdf</d:t>
    </d:r>
  </si>
  <si>
    <t>SDA/MAPA Ordinance No. 1.139, 4 July 2024</t>
  </si>
  <si>
    <t>SDA/MAPA Ordinance that establishes procedures for registration, control and inspection of animal semen sexing laboratories (LSSA).Normative Instruction no. 35, 17 September 2007, published in the Official Gazette on 19 September 2007, Section 1, is revoked.</t>
  </si>
  <si>
    <d:r xmlns:d="http://schemas.openxmlformats.org/spreadsheetml/2006/main">
      <d:rPr>
        <d:sz val="11"/>
        <d:rFont val="Calibri"/>
      </d:rPr>
      <d:t xml:space="preserve">https://www.in.gov.br/en/web/dou/-/portaria-sda/mapa-n-1.139-de-4-de-julho-de-2024-570616364</d:t>
    </d:r>
  </si>
  <si>
    <t>Publication ofRSS-210, Issue 11 — Licence-Exempt Radio Apparatus: Category I Equipment.</t>
  </si>
  <si>
    <t>Notice is hereby given that Innovation, Science and Economic Development Canada (ISED) has published the following document:Radio Standards Specification RSS-210, Issue 11, Licence-Exempt Radio Apparatus: Category I Equipment, sets out the certification requirements for several types of licence-exempt radio apparatus. Radio apparatus covered by this standard are primarily low-power and are mainly used for consumer or commercial purposes.</t>
  </si>
  <si>
    <t>Draft Notification of the Ministry of Public Health RE: Criteria, Methods and Conditions for Exemption from Compliance with the Hazardous Substances Act B.E. 2535 (1992) for Hazardous Substances; under the Responsibility of the Food and Drug Administration; which are intended to be used for the Education, Testing, Analysis, Research and Development B.E. ....</t>
  </si>
  <si>
    <t>The importation of hazardous substances for educational, testing, analytical, research, and development purposes (excluding consumer satisfaction studies) is exempt from certain requirements under the Hazardous Substances Act B.E. 2535(1992), as outlined in this draft notification.To obtain an exemption, the importer must submit the form and relevant documents using the FDA’s electronic system as the primary route of submission before importing the substances. The form, signed by the authorities, serves as proof of exemption for both the importer and the possessor of the hazardous substances.</t>
  </si>
  <si>
    <d:r xmlns:d="http://schemas.openxmlformats.org/spreadsheetml/2006/main">
      <d:rPr>
        <d:sz val="11"/>
        <d:rFont val="Calibri"/>
      </d:rPr>
      <d:t xml:space="preserve">https://members.wto.org/crnattachments/2024/TBT/THA/24_04437_00_x.pdf</d:t>
    </d:r>
  </si>
  <si>
    <t>Draft Notification of the Ministry of Public Health RE: Exemption of Imports from Compliance with the Hazardous Substances Act B.E. 2535 (1992) regarding Notification of Action, Request for Permission and Registration of Hazardous Substances under the Responsibility of the Food and Drug Administration (No. ..) B.E. ….</t>
  </si>
  <si>
    <t>This draft notification will repeal certain clauses regarding the exemptions for performing certain activities required by law for importation of hazardous substances intended for education and research purposes (excluding commercial purposes) in the “Notification of the Ministry of Public Health RE: Exemption of Imports from Compliance with the Hazardous Substances Act B.E. 2535 (1992) regarding the Notification of Action, Request for Permission and Registration of Hazardous Substances under the Responsibility of the Food and Drug Administration B.E. 2548 (2005)”.Such exemptions will be enforced under the “(Draft) Notification of the Ministry of Public Health RE: Criteria, Methods and Conditions for Exemption from Compliance with the Hazardous Substances Act B.E. 2535 (1992) for Hazardous Substances; under the Responsibility of the Food and Drug Administration; which are intended to be used for the Education, Testing, Analysis, Research and Development B.E. …”. Applications submitted prior to the effective date of this notification are subject to be considered as exempted imports according to the “(Draft) Notification of the Ministry of Public Health RE: Criteria, Methods and Conditions for Exemption from Compliance with the Hazardous Substances Act B.E. 2535 (1992) for Hazardous Substances; under the Responsibility of the Food and Drug Administration; which are intended to be used for the Education, Testing, Analysis, Research and Development B.E. ....”.</t>
  </si>
  <si>
    <d:r xmlns:d="http://schemas.openxmlformats.org/spreadsheetml/2006/main">
      <d:rPr>
        <d:sz val="11"/>
        <d:rFont val="Calibri"/>
      </d:rPr>
      <d:t xml:space="preserve">https://members.wto.org/crnattachments/2024/TBT/THA/24_04438_00_x.pdf</d:t>
    </d:r>
  </si>
  <si>
    <t>Draft Notification of the Herbal Product Committee Re: The Quality Control Methods and Specifications of Herbal Product and the Criteria, Procedures and Conditions for the Issuance of Certificate of Analysis of Herbal Products3rd edition) B.E….</t>
  </si>
  <si>
    <t>Amendments to the Notification of the Herbal Product Committee Re: The quality control methods and specifications of herbal product and the criteria, procedures and conditions for the issuance of certificate of analysis of herbal products B.E. 2564 (2021) are made to revise as follows;Clause 2 This notification shall come into force as from the day following the date of its publication in the Government Gazette. Clause 3 The text stated in Clause 4 of the Notification of the Herbal Product Committee Re: The quality control methods and specifications of herbal product and the criteria, procedures and conditions for the issuance of certificate of analysis of herbal products B.E. 2564 (2021) shall be repealed and replaced with the following text: “Clause 4 The quality control methods and specifications of herbal products shall comply with the following criteria: (1) The testing parameters for each dosage form shall be in accordance with Annex 1 to this Notification. (2) The test method for each type of testing parameters according to (1) shall be in accordance with Annex 2 to this Notification.(3) The acceptance criteria for each testing parameter according to (1), shall be in accordance with Annex 2 and 3 to this Notification. A Certificate of analysis of herbal product according to Clause 3 shall be issued in consequence ofthe testing reports conducted and issued by laboratories or organizations as specified in Clause 5 or Clause 6 of this Notification”Clause 4 The text stated in Clause 5 of the Notification of the Herbal Product Committee Re: the quality control methods and specifications of herbal product and the criteria, procedures and conditions for the issuance of certificate of analysis of herbal products B.E. 2564 (2021) shall be repealed and replaced with the following text: “Clause5 Testing reports of the testing parameters on microbial contamination, heavy metals, assay and others shall be conducted and issued by one of the following laboratories or organizations:(1)Department of Medical Sciences or Regional Medical Sciences Center  (2) Department of Science Service (DSS)(3) ISO/IEC 17025 Accredited Laboratory (4) A Laboratoryin a licensed manufacturing facility according to the Herbal Product Act B.E. 2562 (2019).(5)A laboratoryin a licensed manufacturing facility according to the Drug Act B.E. 2510 (1967) and its amended version. (6) Other laboratories granted by the Thai Food and Drug Administration. In case of necessity, the testing reports from (3) to (6) may include the submission of additional descriptions of methods and method validation reports.Clause 5 The text stated in Clause 6 ofthe Notification of the Herbal Product Committee Re: The qualitycontrol methods and specifications of herbal product and the criteria, procedures and conditions for the issuance of certificate of analysis of herbal products B.E. 2564 (2021)shall be repealed.Clause 6 The text stated in the second paragraph of Clause 7 of the Notification of the Herbal Product Committee Re: the quality control methods and specifications of herbal product and the criteria, procedures and conditions for the issuance of certificate of analysis of herbal products B.E. 2564 (2021) shall be repealed and replaced with the following text: “A Certificate of analysis of herbal productaccording to paragraph one shall be issued in consequence of the testing reports conducted and issued by the laboratories or organizations as specified in Clause 5 of this Notification” Clause 7 Annex 1 of the Notification of the Herbal Product Committee regarding the quality control methods and specifications of herbal products, and the criteria, procedures, and conditions for the issuance of a certificate of analysis of herbal products B.E. 2564 (2021), shall be repealed and replaced with Annex 1 of this Notification. Clause 8 Annex 2 of the Notification of the Herbal Product Committee Re: the quality control methods and specifications of herbal product and the criteria, procedures and conditions for the issuance of certificate of analysis of herbal products B.E. 2564 (2021) shall be repealed and replaced with Annex 2 of this Notification. </t>
  </si>
  <si>
    <d:r xmlns:d="http://schemas.openxmlformats.org/spreadsheetml/2006/main">
      <d:rPr>
        <d:sz val="11"/>
        <d:rFont val="Calibri"/>
      </d:rPr>
      <d:t xml:space="preserve">https://members.wto.org/crnattachments/2024/TBT/THA/24_04443_00_x.pdf</d:t>
    </d:r>
  </si>
  <si>
    <t>Decision on withdrawal of approval of the active substance Famoxadone in GB</t>
  </si>
  <si>
    <t>The decision has been published on 24/06/2024 and will enter into force on 30/06/2024. The grace periods, in accordance with Art. 21 (7) of Assimilated Regulation No 1107/2009, authorisations of existing products should be phased out so that:advertisement, sale and supply of each product are allowed until 31/12/2024;storage, disposal and use are allowed until 31/12/2025.</t>
  </si>
  <si>
    <t>Famoxadone (pesticide active substance); Pesticides and other agrochemicals (ICS code(s): 65.100)</t>
  </si>
  <si>
    <d:r xmlns:d="http://schemas.openxmlformats.org/spreadsheetml/2006/main">
      <d:rPr>
        <d:sz val="11"/>
        <d:rFont val="Calibri"/>
      </d:rPr>
      <d:t xml:space="preserve">Decision to withdraw approval of the active substance famoxadone in GB - https://www.hse.gov.uk/pesticides/assets/docs/pnas-aapv-0676.pdf
The decision document can be found in The GB approvals register - https://www.hse.gov.uk/pesticides/assets/docs/active-substance-register.xlsx
</d:t>
    </d:r>
  </si>
  <si>
    <t>Anthropomorphic Test Devices; THOR 50th Percentile Adult Male Test Dummy; Incorporation by Reference</t>
  </si>
  <si>
    <t xml:space="preserve">This document announces the availability of documents supplementing the National Highway Traffic Safety Administration's (NHTSA) September 2023 notice of proposed rulemaking to amend NHTSA's regulations to include an advanced crash test dummy, the Test Device for Human Occupant Restraint 50th percentile adult male.The documents referenced in this notification will be available in the docket as of 9 July 2024. You should submit your comments early enough to be received not later than 8 August 2024.89 Federal Register (FR) 56251, Title 49 Code of Federal Regulations (CFR) Part 572_x000D_
https://www.govinfo.gov/content/pkg/FR-2024-07-09/html/2024-14546.htm_x000D_
https://www.govinfo.gov/content/pkg/FR-2024-07-09/pdf/2024-14546.pdf_x000D_
This supplemental notice of proposed rulemaking and the notice of proposed rulemaking notified as G/TBT/N/USA/2043 are identified by Docket Number NHTSA-2023-0031. The Docket Folder is available from Regulations.gov at https://www.regulations.gov/docket/NHTSA-2023-0031/document and provides access to primary and supporting documents as well as comments received. Documents are also accessible from Regulations.gov by searching the Docket Number. WTO Members and their stakeholders are asked to submit comments to the USA TBT Enquiry Point by or before 4pmEastern Time on 8 August 2024. Comments received by the USA TBT Enquiry Point from WTO Members and their stakeholders will be shared with the regulator and will also be submitted to the Docket on Regulations.gov if received within the comment period.</t>
  </si>
  <si>
    <t>Anthropomorphic test devices; Test conditions and procedures in general (ICS code(s): 19.020); Road vehicles in general (ICS code(s): 43.020); Crash protection and restraint systems (ICS code(s): 43.040.80)</t>
  </si>
  <si>
    <t>19.020 - Test conditions and procedures in general; 43.020 - Road vehicles in general; 43.040.80 - Crash protection and restraint systems; 19.020 - Test conditions and procedures in general; 43.020 - Road vehicles in general; 43.040.80 - Crash protection and restraint systems</t>
  </si>
  <si>
    <d:r xmlns:d="http://schemas.openxmlformats.org/spreadsheetml/2006/main">
      <d:rPr>
        <d:sz val="11"/>
        <d:rFont val="Calibri"/>
      </d:rPr>
      <d:t xml:space="preserve">https://members.wto.org/crnattachments/2024/TBT/USA/24_04476_00_e.pdf</d:t>
    </d:r>
  </si>
  <si>
    <t>Partial revision of Regulations for Radio Equipment etc.</t>
  </si>
  <si>
    <t xml:space="preserve">As announced in G/TBT/N/JPN/783 dated 11 September, 2023, the revisions entered into force on 22 December, 2023. The texts of the amendments in Japanese are available on the following website of the Ministry of Internal Affairs and Communications._x000D_
https://www.soumu.go.jp/main_content/000918607.pdf</t>
  </si>
  <si>
    <t>Wireless LAN (WLAN) System (5.2, 6GHz band)</t>
  </si>
  <si>
    <d:r xmlns:d="http://schemas.openxmlformats.org/spreadsheetml/2006/main">
      <d:rPr>
        <d:sz val="11"/>
        <d:rFont val="Calibri"/>
      </d:rPr>
      <d:t xml:space="preserve">Ministerial ordinance for Partial revision of Regulations for Radio Equipment etc. (Ministerial ordinance of the Ministry of Internal Affairs and Communications
 No.94 of 2023.)
https://www.soumu.go.jp/main_content/000918607.pdf</d:t>
    </d:r>
  </si>
  <si>
    <t>Animal health; Zoonoses; Animal diseases; Modification of content/scope of regulation; Zoonoses; Animal health; Animal diseases</t>
  </si>
  <si>
    <t>2603 - Copper ores and concentrates.; 2610 - Chromium ores and concentrates.; 280480 - Arsenic; 2610 - Chromium ores and concentrates.; 2603 - Copper ores and concentrates.; 280480 - Arsenic</t>
  </si>
  <si>
    <t>Protection of human health or safety (TBT); Protection of animal or plant life or health (TBT); Protection of the environment (TBT); Harmonization (TBT); Reducing trade barriers and facilitating trade (TBT)</t>
  </si>
  <si>
    <t>Resolución Directoral No D000024-2024-MIDAGRI-SENASA-DSV (Directorial Resolution No. D000024-2024-MIDAGRI-SENASA-DSV)</t>
  </si>
  <si>
    <t>The notified Directorial Resolution approves the phytosanitary requirements for the importation of in vitro plantain and/or banana (Musa spp.) plants originating in and coming from the French Republic.</t>
  </si>
  <si>
    <t>In vitro plantain and/or banana (Musa spp.) plants (HS code: 0602)</t>
  </si>
  <si>
    <d:r xmlns:d="http://schemas.openxmlformats.org/spreadsheetml/2006/main">
      <d:rPr>
        <d:sz val="11"/>
        <d:rFont val="Calibri"/>
      </d:rPr>
      <d:t xml:space="preserve">https://members.wto.org/crnattachments/2024/SPS/PER/24_04480_00_s.pdf</d:t>
    </d:r>
  </si>
  <si>
    <t>The notification of the Ministerial Decree No.361/2024</t>
  </si>
  <si>
    <t>Products covered: ICS : 67.040 (Food products in general)This addendum concerns the notification of the Ministerial Decree No.361/2024 (2 pages, in Arabic) which extends the shelf life of frozen fish and frozen liver stipulated in the Egyptian Standard ES 2613-2/2008 for "Shelf life for food products part 2: shelf life"(18 pages, in Arabic) to be ten months in case of frozen fish and twelve months in case of frozen liver from the date of slaughter. This Decree is valid from 1 July 2024 until 31 December 2024.It should be noted that the Ministerial Decree No. 100/2019 (2 pages, in Arabic) which was formerly notified in G/TBT/N/EGY/212 dated 10 May 2019, Ministerial Decree No. 653/2020 (2 pages, in Arabic) which was formerly notified in G/TBT/N/EGY/212/Add.2 dated 15 March 2021, Ministerial Decree No. 222/2021 (1 page, in Arabic) which was formerly notified in G/TBT/N/EGY/212/Add.3 dated 31 August 2021, Ministerial Decree No. 522/2021 (2 pages, in Arabic) which was formerly notified in G/TBT/N/EGY/212/Add.4 dated 16 February 2022, Ministerial Decree No. 393/2022 (2 pages, in Arabic) which was formerly notified in G/TBT/N/EGY/212/Add.5 dated 22 August 2022 and Ministerial Decree No. 233/2023 (2 pages, in Arabic) which was formerly notified in G/TBT/N/EGY/212/Add.6 dated 20 July 2023 mandated among others the earlier versions and amendments of this Standard.Worth mentioning is that this standard has been formulated according to National Studies and its updates.Producers and importers are kept informed of any amendments in the Egyptian standards through the publication of administrative orders in the official gazette.Date of adoption: 27 June 2024.Date of entry into force: 1 July 2024.Agency or authority designated to handle comments and text available from:National Enquiry PointEgyptian Organization for Standardization and Quality16 Tadreeb El-Modarrebeen St., Ameriya, Cairo – EgyptE-mail: eos@idsc.net.egeos.tbt@eos.org.egWebsite: http://www.eos.org.egTel: + (202) 22845528</t>
  </si>
  <si>
    <t>DUS 2403:2024, Standard test method for analysis of engine coolant for chloride and other anions by ion chromatography, Second Edition.</t>
  </si>
  <si>
    <t>This Draft Uganda Standard covers the chemical analysis of engine coolant for chloride ion by high-performance ion chromatography (HPIC). Several other common anions found in engine coolant can be determined in one chromatographic analysis by this test method. This test method is applicable to both new and used engine coolant. Coelution of other ions may cause interferences for any of the listed anions. In the case of unfamiliar formulations, identification verification should be performed by either or both fortification and dilution of the sample matrix with the anions of interest. Analysis can be performed directly by this test method without pretreatment, other than dilution, as required by the linear ranges of the equipment.</t>
  </si>
  <si>
    <t>MISCELLANEOUS CHEMICAL PRODUCTS (HS code(s): 38); Chemical technology (ICS code(s): 71)</t>
  </si>
  <si>
    <t>38 - MISCELLANEOUS CHEMICAL PRODUCTS</t>
  </si>
  <si>
    <t>71.100.45 - Refrigerants and antifreezes; 71 - Chemical technology</t>
  </si>
  <si>
    <t>Proposed partial amendments to the ”Regulation on Good manufacturing Practices for Medicinal Products</t>
  </si>
  <si>
    <t xml:space="preserve">The proposed amendments to the ”Regulation on Good Manufacturing Practices for Medicinal Products” are as follows:   _x000D_
- Enhancement of the procedures for certification of GMP compliance and management system for validity period , etc. </t>
  </si>
  <si>
    <t>Medicinal Products</t>
  </si>
  <si>
    <d:r xmlns:d="http://schemas.openxmlformats.org/spreadsheetml/2006/main">
      <d:rPr>
        <d:sz val="11"/>
        <d:rFont val="Calibri"/>
      </d:rPr>
      <d:t xml:space="preserve">https://members.wto.org/crnattachments/2024/TBT/KOR/24_04447_00_x.pdf</d:t>
    </d:r>
  </si>
  <si>
    <t>CONSULTA PÚBLICA DE MODIFICACIÓN DEL DECRETO SUPREMO N°977/96, MINISTERIO SALUD, REGLAMENTO SANITARIO DE LOS ALIMENTOS, título XVII DE LOS AZÚCARES Y DE LA MIEL, Párrafo ii DE LOS JARABES Y PÁRRAFO III De LA MIEL, ARTÍCULOS 391, 393, 393 BIS Y 394 (Public consultation on amendment to Ministry of Health Supreme Decree No. 977/96, Food Health Regulations, Section XVII on sugars and honey, paragraph II on syrups and paragraph III on honey, Articles 391, 393, 393 bis and 394) (6 pages, in Spanish)</t>
  </si>
  <si>
    <t>The notified proposal seeks to implement part of Law No. 21.489 on the Promotion, Protection and Development of Apiculture Activities, standardize concepts and correct the classification of "palm syrup". To implement Law No. 21.489, there is a need to amend the Food Health Regulations, Section XVII on sugars and honey, paragraph II on syrups and paragraph III on honey.</t>
  </si>
  <si>
    <t>Palm syrup</t>
  </si>
  <si>
    <t>170290 - 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t>
  </si>
  <si>
    <d:r xmlns:d="http://schemas.openxmlformats.org/spreadsheetml/2006/main">
      <d:rPr>
        <d:sz val="11"/>
        <d:rFont val="Calibri"/>
      </d:rPr>
      <d:t xml:space="preserve">https://members.wto.org/crnattachments/2024/TBT/CHL/24_04470_00_s.pdf</d:t>
    </d:r>
  </si>
  <si>
    <t>Modificación del Decreto Supremo No 977/96, Ministerio de Salud, Reglamento Sanitario de los Alimentos, Título XVII de los azúcares y de la miel, Párrafo III de la miel, Artículos 391, 393, 393 BIS y 394 (Amendment to Ministry of Health Supreme Decree No. 977/96, Food Health Regulations, Section XVII on sugars and honey, paragraph III on honey, Articles 391, 393, 393 bis and 394)</t>
  </si>
  <si>
    <t>The purpose of the notified measure is to implement part of Law No. 21.489 on the Promotion, Protection and Development of Apiculture Activities, standardize concepts and correct the classification of "palm syrup". For further details, please refer to the document attached to this notification, which highlights in red the amendments to the Food Health Regulations, Section XVII on sugars and honey, paragraph II on syrups and paragraph III on honey.</t>
  </si>
  <si>
    <d:r xmlns:d="http://schemas.openxmlformats.org/spreadsheetml/2006/main">
      <d:rPr>
        <d:sz val="11"/>
        <d:rFont val="Calibri"/>
      </d:rPr>
      <d:t xml:space="preserve">https://members.wto.org/crnattachments/2024/SPS/CHL/24_04479_00_s.pdf
https://members.wto.org/crnattachments/2024/SPS/CHL/24_04479_01_s.pdf</d:t>
    </d:r>
  </si>
  <si>
    <t>Draft Plant Quarantine (Regulation of Import into India) Order, 2003 (Eighth Amendment) 2024</t>
  </si>
  <si>
    <t>The Draft Plant Quarantine (Regulation of Import into India) (Eighth Amendment) Order, 2024 seeks to further liberalize provisions governing import of Citrus spp., Blueberry and Cranberry (Vaccinium sp.) and Stone fruits(plum, peach, cherry, apricot, almond, nectarine) (Prunus spp.),from Australia.</t>
  </si>
  <si>
    <t>Citrus spp., Blueberry and Cranberry (Vaccinium sp.) and Stone fruits (plum, peach, cherry, apricot, almond, nectarine) (Prunus spp.)</t>
  </si>
  <si>
    <t>081040 - Fresh cranberries, bilberries and other fruits of the genus Vaccinium; 0809 - Apricots, cherries, peaches incl. nectarines, plums and sloes, fresh; 0805 - Citrus fruit, fresh or dried; 08021 - - Almonds:</t>
  </si>
  <si>
    <d:r xmlns:d="http://schemas.openxmlformats.org/spreadsheetml/2006/main">
      <d:rPr>
        <d:sz val="11"/>
        <d:rFont val="Calibri"/>
      </d:rPr>
      <d:t xml:space="preserve">https://members.wto.org/crnattachments/2024/SPS/IND/24_04396_00_e.pdf</d:t>
    </d:r>
  </si>
  <si>
    <t>Commission Implementing Regulation (EU) 2024/1757 of 25 June 2024 concerning the renewal of the authorisation of a preparation of Lentilactobacillus buchneri NCIMB 30139 as a feed additive for all animal species and amending Implementing Regulation (EU) No 96/2013 (Text with EEA relevance)</t>
  </si>
  <si>
    <t>The preparation specified in this Act was initially authorized for a period of 10 years as a feed additive for all animal species in the category ‘technological additives’ and in the functional group ‘silage additives’. An application was submitted for the renewal of this authorization. Further to the favourable assessment by the European Food Safety Authority, the authorization of this preparation  is renewed, subject to certain conditions.</t>
  </si>
  <si>
    <d:r xmlns:d="http://schemas.openxmlformats.org/spreadsheetml/2006/main">
      <d:rPr>
        <d:sz val="11"/>
        <d:rFont val="Calibri"/>
      </d:rPr>
      <d:t xml:space="preserve">https://members.wto.org/crnattachments/2024/SPS/EEC/24_04418_00_e.pdf
https://members.wto.org/crnattachments/2024/SPS/EEC/24_04418_00_f.pdf
https://members.wto.org/crnattachments/2024/SPS/EEC/24_04418_00_s.pdf</d:t>
    </d:r>
  </si>
  <si>
    <t>Commission Implementing Regulation (EU) 2024/1750 of 24 June 2024 concerning the renewal of the authorisation of a preparation of Levilactobacillus brevis DSM 23231 as a feed additive for all animal species and amending Implementing Regulation (EU) No 399/2014 (Text with EEA relevance)</t>
  </si>
  <si>
    <t>The preparation specified in this Act was initially authorized for a period of 10 years as a feed additive for all animal species in the category ‘technological additives’ and in the functional group ‘silage additives’. An application was submitted for the renewal of this authorization. Further to the favourable assessment by the European Food Safety Authority, the authorization of this preparation  is renewed, subject to certain conditions</t>
  </si>
  <si>
    <d:r xmlns:d="http://schemas.openxmlformats.org/spreadsheetml/2006/main">
      <d:rPr>
        <d:sz val="11"/>
        <d:rFont val="Calibri"/>
      </d:rPr>
      <d:t xml:space="preserve">https://members.wto.org/crnattachments/2024/SPS/EEC/24_04419_00_e.pdf
https://members.wto.org/crnattachments/2024/SPS/EEC/24_04419_00_f.pdf
https://members.wto.org/crnattachments/2024/SPS/EEC/24_04419_00_s.pdf</d:t>
    </d:r>
  </si>
  <si>
    <t>Commission Implementing Regulation (EU) 2024/1755 of 25 June 2024 concerning the authorisation of acetic acid, calcium acetate and sodium diacetate as feed additives for fish (Text with EEA relevance)</t>
  </si>
  <si>
    <t>The substances covered by the Act were authorized as feed additives for fish. An application was submitted for the reauthorization of these substances in accordance with article 10 of Regulation (EC) No 1831/2003. Further to the positive assessment by the European Food Safety Authority, these substances are reauthorized as feed additives for fish, in the category ‘technological additives’ and in the functional group ‘preservatives’, under certain conditions. A transitional period is included for the interested parties to meet the new authorization’s requirements.</t>
  </si>
  <si>
    <d:r xmlns:d="http://schemas.openxmlformats.org/spreadsheetml/2006/main">
      <d:rPr>
        <d:sz val="11"/>
        <d:rFont val="Calibri"/>
      </d:rPr>
      <d:t xml:space="preserve">https://members.wto.org/crnattachments/2024/SPS/EEC/24_04420_00_e.pdf
https://members.wto.org/crnattachments/2024/SPS/EEC/24_04420_00_f.pdf
https://members.wto.org/crnattachments/2024/SPS/EEC/24_04420_00_s.pdf</d:t>
    </d:r>
  </si>
  <si>
    <t>Aprueba Procedimiento de Autorización de Compartimentos libres de enfermedades para las especies que se indican (Approval of the authorization procedure for disease-free compartments for the species indicated)</t>
  </si>
  <si>
    <t>The notified measure approves the authorization procedure for disease-free compartments for poultry and swine, allowing the importation into Chile of fertile eggs, animals, genetic material and products of animal origin, depending on the type of establishment included in the compartment. This measure establishes, inter alia, that compartmentalization may be requested for the following species and diseases: a. Poultry: Avian influenza and Newcastle disease; b. Swine: Foot-and-mouth disease, classical swine fever and African swine fever. Further details can be found in the document attached to this notification.</t>
  </si>
  <si>
    <t>Fertile eggs, animals, genetic material and products of animal origin of poultry and swine</t>
  </si>
  <si>
    <t>040719 - Fertilised birds' eggs for incubation (excl. of domestic fowls); 040711 - Fertilised eggs for incubation, of domestic fowls; 0105 - Live poultry, "fowls of the species Gallus domesticus, ducks, geese, turkeys and guinea fowls"; 0103 - Live swine</t>
  </si>
  <si>
    <t>Animal health; Animal diseases; African swine fever (ASF); Foot and mouth disease; Avian Influenza; Newcastle Disease</t>
  </si>
  <si>
    <d:r xmlns:d="http://schemas.openxmlformats.org/spreadsheetml/2006/main">
      <d:rPr>
        <d:sz val="11"/>
        <d:rFont val="Calibri"/>
      </d:rPr>
      <d:t xml:space="preserve">https://members.wto.org/crnattachments/2024/SPS/CHL/24_04426_00_s.pdf</d:t>
    </d:r>
  </si>
  <si>
    <t>No. BEE/S&amp;L/AC/37/2023-24 - Bureau of Energy Efficiency (Particulars and Manner of their Display on Labels of Room Air Conditioners), Amendment Regulation, 2024. </t>
  </si>
  <si>
    <t>To direct display of particulars on label on Room Air Conditioners as specified in the regulation.</t>
  </si>
  <si>
    <t>Room Air Conditioners (Split/Window)</t>
  </si>
  <si>
    <t>8415 - Air conditioning machines comprising a motor-driven fan and elements for changing the temperature and humidity, incl. those machines in which the humidity cannot be separately regulated; parts thereof</t>
  </si>
  <si>
    <t>Protection of the environment (TBT); Other (TBT)</t>
  </si>
  <si>
    <d:r xmlns:d="http://schemas.openxmlformats.org/spreadsheetml/2006/main">
      <d:rPr>
        <d:sz val="11"/>
        <d:rFont val="Calibri"/>
      </d:rPr>
      <d:t xml:space="preserve">https://members.wto.org/crnattachments/2024/TBT/IND/24_04395_00_e.pdf</d:t>
    </d:r>
  </si>
  <si>
    <t>DraftCommission Regulation (EU) amending Regulation (EU) No 142/2011 as regards requirements for the import of used cooking oil (Text with EEA relevance)</t>
  </si>
  <si>
    <t>The draft on animal health requirements for imports of used cooking oil intended for technical uses (production of renewable fuels and oleochemical products) introduces harmonized EU requirements and replaces current national rules of 27 EU member States. The main objective of the draft is prevention of entry of used cooking oil into feed for farmed animals within the European Union and thereby to mitigate potential biological hazards in feed.The draft introduced the following requirements:            A consignment of used cooking oil must come from a registered storage or collection plant listed in the EU TRACES system [https://webgate.ec.europa.eu/tracesnt/directory/listing/establishment/publication/index#!/search];            A consignment must be presented at an EU veterinary border control post and be monitored in the European Union until reaches its place of destination after import;            A consignment of used cooking oil must be accompanied by a commercial declaration signed by the importers stated that used cooking oil is not intended for feeding farmed animals and that water and solid particles of more than 6 mm, to reach a combined amount of moisture and solid particles of not more than 10% w/w* at the time of dispatch.</t>
  </si>
  <si>
    <t>Animal, vegetable or microbial fats and oils and their fractions, boiled, oxidised, dehydrated, sulphurised, blown, polymerised by heat in vacuum or in inert gas or otherwise chemically modified, excluding those of heading 15.16; inedible mixtures or preparations of animal, vegetable or microbial fats or oils or of fractions of different fats or oils of this Chapter, not elsewhere specified or included. (HS code(s): 1518); Municipal waste (HS code(s): 382510)</t>
  </si>
  <si>
    <t>1518 - Animal, vegetable or microbial fats and oils and their fractions, boiled, oxidised, dehydrated, sulphurised, blown, polymerised by heat in vacuum or in inert gas or otherwise chemically modified, excluding those of heading 15.16; inedible mixtures or preparations of animal, vegetable or microbial fats or oils or of fractions of different fats or oils of this Chapter, not elsewhere specified or included.; 382510 - Municipal waste</t>
  </si>
  <si>
    <d:r xmlns:d="http://schemas.openxmlformats.org/spreadsheetml/2006/main">
      <d:rPr>
        <d:sz val="11"/>
        <d:rFont val="Calibri"/>
      </d:rPr>
      <d:t xml:space="preserve">https://members.wto.org/crnattachments/2024/SPS/EEC/24_04412_00_e.pdf
https://members.wto.org/crnattachments/2024/SPS/EEC/24_04412_01_e.pdf</d:t>
    </d:r>
  </si>
  <si>
    <t>AusTreat</t>
  </si>
  <si>
    <t>The Department of Agriculture, Fisheries and Forestry is introducing AusTreat, a government to industry pre-border biosecurity treatment provider assurance scheme replacing the existing Offshore Brown Marmorated Stink Bug (BMSB) Treatment Providers Scheme.AusTreat will affect stakeholders involved with importing goods that require treatment to address the risk of BMSB during the BMSB risk season.Treatment providers will be able to register for AusTreat from June 2024 ahead of the 2024/25 BMSB risk season.This document will open for review in 12 months and be free to comment on by international governments.</t>
  </si>
  <si>
    <t>Sea freight consignments of containerized and break bulk cargo</t>
  </si>
  <si>
    <d:r xmlns:d="http://schemas.openxmlformats.org/spreadsheetml/2006/main">
      <d:rPr>
        <d:sz val="11"/>
        <d:rFont val="Calibri"/>
      </d:rPr>
      <d:t xml:space="preserve">https://members.wto.org/crnattachments/2024/SPS/AUS/24_04342_00_e.pdf</d:t>
    </d:r>
  </si>
  <si>
    <t>The Natural Resources Conservation Authority (Plastic Packaging Materials Prohibition) Order, 2018,</t>
  </si>
  <si>
    <t>The Natural Resources Conservation Authority (Plastic Packaging Materials Prohibition) Order, 2018 prohibits the manufacture and use of any single use plastic in commercial quantities.  starting January 1, 2019. Single use plastics include bags, expanded polystyrene foam packaging, and certain drinking straws. Exceptions are allowed for health and food safety packaging, personal effects, and drinking straws for persons with disabilities.  The Order clarifies that single use plastic bags labelled as biodegradable, degradable, oxo-degradable, photo degradable or compostable plastics are still subject to the prohibition.</t>
  </si>
  <si>
    <t>Single use plastic straws made wholly or in part of polyethylene or polypropylene Tariff classification 3924 1020 10Single use plastic bag made wholly or in part of polyethylene or polypropylene of the following dimensions:24" x 24" and 0.03mm thickness Tariff classification 3923 2900 10 24" x 24" and 0.06mm thickness Tariff classification 3923 2900 90packaging made wholly or in part of expanded polystyrene foam Tariff classification 3923 9090 10</t>
  </si>
  <si>
    <t>3923 - Articles for the conveyance or packaging of goods, of plastics; stoppers, lids, caps and other closures, of plastics; 3924 - Tableware, kitchenware, other household articles and toilet articles, of plastics (excl. baths, shower-baths, washbasins, bidets, lavatory pans, seats and covers, flushing cisterns and similar sanitary ware)</t>
  </si>
  <si>
    <t>55.020 - Packaging and distribution of goods in general; 83.140 - Rubber and plastics products</t>
  </si>
  <si>
    <d:r xmlns:d="http://schemas.openxmlformats.org/spreadsheetml/2006/main">
      <d:rPr>
        <d:sz val="11"/>
        <d:rFont val="Calibri"/>
      </d:rPr>
      <d:t xml:space="preserve">https://members.wto.org/crnattachments/2024/TBT/JAM/24_04402_00_e.pdf</d:t>
    </d:r>
  </si>
  <si>
    <t>Authorisation of four novel foods, new production method for two food additives, an extension of use of an authorised food additive, a new limit for ethylene oxide in all food additives and the removal of twenty-two flavouring substances</t>
  </si>
  <si>
    <t>The United Kingdom intends to authorise four novel foods and three food additives (two new production methods and one extension of use of an existing authorisation). The United Kingdom also intends to set a limit for ethylene oxide in all food additives replacing the current outright prohibition, a clear limit that provides clarity and consistency to industry and enforcers, facilitating trade. The United Kingdom is also making various minor and technical amendments to the list of authorised novel foods and food additives to correct identified errors and omissions, including the removal of twenty-two food flavouring authorisations in Great Britain (GB) that are no longer in use.  The new authorisations are: Novel foods: Cetylated fatty acids (new authorisation). The authorisation is for a new application to use cetylated fatty acids within the food category: food supplements for the general population. Partially hydrolysed protein from spent barley (Hordeum vulgare) and rice (Oryza sativanew authorisation).  The authorisation is for food categories including: bakery products, breakfast cereals, spreadable fats and dressings, grain products and pastas, snack foods, jam, marmalade and other fruit spreads, candy/confectionery, dairy and dairy imitates, dessert sauces and syrups, meat imitates, soups and soup mixes, savoury sauces, legume-based spreads, nut-based spreads, energy drinks, foods and beverages intended for sportspersons and meal replacements for weight control. Lacto-N-fucopentaose I (LNFP-l) and 2’-fucosyllactose (2’-FL)(new authorisation).  The new authorisation is for LNFP-l/2'-FL in dairy products and analogues, bakery wares, beverages, foods for infants and young children, foods for special medical purposes, total diet replacement for weight control, and food supplements.  3-fucosyllactose (produced by a derivative strain of Escherichia coli K-12 DH1)(new authorisation).  The new authorisation is to use the novel food within the following food categories: dairy products and analogues, bakery wares, foods for special groups, beverages, and as a food supplement.  Food additives: Rebaudioside M, AM and D produced via enzymatic conversion of highly purified steviol glycosides from stevia leaf extracts(new production method of an existing authorised food additive).  It would be used in food and beverages as a high-intensity sweetener for the replacement of sucrose in reduced-calorie or no-sugar-added products.  Steviol Glycosides (E 960b) produced by Yarrowia lipolytica (new production method of an existing authorised food additive). Used in jams, chewing gum, drinks, yoghurts, and confectionery. It is also available in pure form for use in tea, coffee, and baking.  Polyglycerol polyricinoleate (PGPR, E 476) (extension of use of an existing authorised food additive). Polyglycerol polyricinoleate (PGPR, E 476) is an emulsifier made from polyglycerol and fatty acids. This extension of use allows this food additive in ice creams and frozen yogurts and at a higher level in certain types of sauces.  This is an extension of use of the already authorised additive polyglycerol polyricinoleate (PGPR, E 476) to allow use in ‘Edible Ices’, with the restriction ‘except sorbets’.  Ethylene oxide (amendment): Ethylene oxides is already prohibited from being used as a sterilising agent for all food additives. It is however used as a raw material in the manufacture for some food additives. Ethylene oxide is classified as carcinogenic, mutagenic and toxic for reproduction. The FSA/FSS have conducted rapid risk assessments in relation to various incidents involving additives (xanthan gum, guar gum, locust bean gum and calcium carbonate) where ethylene oxide or its breakdown product 2-chloroethanol was detected. An amendment is required to the Annex to assimilated Regulation No 231/2012 to set a maximum limit at what is deemed to be a level that can be consistently quantified (0.1mg/kg). This facilitates trade as currently any finding of ethylene oxide is prohibited. Setting a maximum limit at 0.1mg/kg means any finding below that would be tolerated and the additive can be placed on the market.   Food Flavourings: Removal of authorisation of twenty-two ‘flavouring substances under evaluation’ from the GB approved list.  The flavourings industry requested their deletion from the list and will not submit any of the additional information required to complete the evaluation. They will be removed from the list set out in Annex I of assimilated Regulation 1334/2008. This is unlikely to affect trade as the international flavouring trade associations have said these flavourings are no longer used in food. The legislation contains transitional measures for foods exported to GB in case there were any legacy uses, prior to the producers withdrawing their support for these flavourings. Further information can be found in the consultations linked in section 9.</t>
  </si>
  <si>
    <t>Four novel foods: RP200 cetylated fatty acids (new authorisation) RP19 Partially hydrolysed protein from spent barley (Hordeum vulgare) and rice (Oryza sativa (new authorisation) RP549 lacto-N-fucopentaose I (LNFP-l) and 2’-fucosyllactose (2’-FL) (new authorisation) RP1202 3-fucosyllactose (3-FL) (produced by a derivative strain of Escherichia coli K-12 DH1) (new authorisation) Three food additives:   RP1084 Rebaudioside M, AM and D produced via enzymatic conversion of highly purified steviol glycosides from stevia leaf extracts (new production method of an existing authorised food additive) RP1140 Steviol Glycosides (E 960b) produced by Yarrowia lipolytica (new production method of an existing authorised food additive) RP217 Polyglycerol polyricinoleate (PGPR, E 476) (extension of use of an authorised food additive) Twenty-two flavouring substances: 1-(4-Methoxyphenyl)pent-1-en-3-one (FL No 07.030) (removal) Vanillylidene acetone (FL No 07.046) (removal) 1-(4-Methoxyphenyl)-4-methylpent-1-en-3-one (FL No 07.049) (removal) 4-(2,3,6-Trimethylphenyl)but-3-en-2-one (FL No 07.206) (removal) 6-Methyl-3-hepten-2-one (FL No 07.258) (removal) 5,6-Dihydro-3,6-dimethyl-benzofuran-2(4H)-one (FL No 10.034) (removal) 5,6,7,7a-Tetrahydro-3,6-dimethylbenzofuran-2(4H)-one (FL No 10.036) (removal) 3,4-Dimethyl-5-pentylidene-furan-2(5H)-one (FL No 10.042) (removal) 2,7-Dimethylocta-5(trans),7-dieno-1,4-lactone (FL No 10.043) (removal) Hex-2-eno-1,4-lactone (FL No 10.046) (removal) Non-2-eno-1,4-lactone (FL No 10.054) (removal) 2-Decen-1,4-lactone (FL No 10.060) (removal) 5-Pentyl-3H-furan-2-one (FL No 10.170) (removal) Allyl 2-furoate (FL No 13.004) (removal) 3-(2-furyl)acrylaldehyde (FL No 13.034) (removal)  Furfurylidene-2-butanal (FL No 13.043) (removal) 4-(2-Furyl)but-3-en-2-one (FL No 13.044) (removal) 3-(2-Furyl)-2-methylprop-2-enal (FL No 13.046) (removal) 3-Acetyl-2,5-dimethylfuran (FL No 13.066) (removal) 2-Butylfuran (FL No 13.103) (removal) 3-(2-Furyl)-2-phenylprop-2-enal (FL No 13.137) (removal) 3-(5-Methyl-2-furyl)prop-2-enal (FL No 13.150) (removal) </t>
  </si>
  <si>
    <d:r xmlns:d="http://schemas.openxmlformats.org/spreadsheetml/2006/main">
      <d:rPr>
        <d:sz val="11"/>
        <d:rFont val="Calibri"/>
      </d:rPr>
      <d:t xml:space="preserve">Full text of the legislation is linked for:
England: https://www.legislation.gov.uk/uksi/2024/685/introduction/made
Scotland: https://www.legislation.gov.uk/ssi/2024/156/contents/made
Wales: https://www.legislation.gov.uk/wsi/2024/741/contents/made</d:t>
    </d:r>
  </si>
  <si>
    <t>THE TRADE (PLASTIC PACKAGING MATERIALS PROHIBITION) ORDER, 2018</t>
  </si>
  <si>
    <t>The Trade (Plastic Packaging Materials Prohibition) Order, 2018, issued under Jamaica's Trade Act, prohibits the import and distribution of specific types of single-use plastics in commercial quantities effective January 1, 2019. Single-use plastics include bags, expanded polystyrene foam packaging, and certain drinking straws made from specified materials. Exemptions until January 2021 include plastics imported before January 2019, those necessary for public health and food safety compliance, medical purposes, personal luggage use, and straws for persons with disabilities. The Order clarifies that single use plastic bags labelled as biodegradable, degradable, oxo-degradable, photodegradable or compostable plastics are still subject to the prohibition. </t>
  </si>
  <si>
    <t>Single use plastic straws made wholly or in part of polyethylene or polypropylene   Tariff classification 3924 1020 10Single use plastic bag made wholly or in part of polyethylene or polypropylene of the following dimensions:24" x 24" and 0.03mm thickness Tariff classification 3923 2900 10 24" x 24" and 0.06mm thickness Tariff classification 3923 2900 90packaging made wholly or in part of expanded polystyrene foam Tariff classification 3923 9090 10</t>
  </si>
  <si>
    <t>55.020 - Packaging and distribution of goods in general; 83.140.99 - Other rubber and plastics products</t>
  </si>
  <si>
    <d:r xmlns:d="http://schemas.openxmlformats.org/spreadsheetml/2006/main">
      <d:rPr>
        <d:sz val="11"/>
        <d:rFont val="Calibri"/>
      </d:rPr>
      <d:t xml:space="preserve">https://members.wto.org/crnattachments/2024/TBT/JAM/24_04401_00_e.pdf
</d:t>
    </d:r>
  </si>
  <si>
    <t>Promoting the Integrity and Security of Telecommunications Certification Bodies, Measurement Facilities, and the Equipment Authorization Program</t>
  </si>
  <si>
    <t>Proposed rule - In this document, the Federal Communications Commission (Commission, FCC) proposes to strengthen requirements and oversight relating to telecommunications certification bodies and measurement facilities to help ensure the integrity of these entities for purposes of the equipment authorization, to better protect national security, and to advance the Commission's comprehensive strategy to build a more secure and resilient communications supply chain.</t>
  </si>
  <si>
    <t>Radio-frequency (RF) devices; Product and company certification. Conformity assessment (ICS code(s): 03.120.20); Radiocommunications (ICS code(s): 33.060)</t>
  </si>
  <si>
    <t>03.120.20 - Product and company certification. Conformity assessment; 33.060 - Radiocommunications</t>
  </si>
  <si>
    <t>National security requirements (TBT); Prevention of deceptive practices and consumer protection (TBT); Quality requirements (TBT)</t>
  </si>
  <si>
    <d:r xmlns:d="http://schemas.openxmlformats.org/spreadsheetml/2006/main">
      <d:rPr>
        <d:sz val="11"/>
        <d:rFont val="Calibri"/>
      </d:rPr>
      <d:t xml:space="preserve">https://members.wto.org/crnattachments/2024/TBT/USA/24_04404_00_e.pdf
https://members.wto.org/crnattachments/2024/TBT/USA/24_04404_01_e.pdf</d:t>
    </d:r>
  </si>
  <si>
    <t>Commission Implementing Regulation (EU) 2024/1810 of 1 July 2024 concerning the renewal of the authorisation of a preparation of Lentilactobacillus buchneri DSM 22501 as a feed additive for all animal species and amending Implementing Regulation (EU) No 1113/2013 (Text with EEA relevance)</t>
  </si>
  <si>
    <t>The preparation specified in this Act was initially authorized for a period of 10 years as a feed additive for all animal species in the category ‘technological additives’ and in the functional group ‘silage additives’. An application was submitted for the renewal of this authorization. Further to the favourable assessment by the European Food Safety Authority, the authorization of this preparation is renewed, subject to certain conditions.</t>
  </si>
  <si>
    <d:r xmlns:d="http://schemas.openxmlformats.org/spreadsheetml/2006/main">
      <d:rPr>
        <d:sz val="11"/>
        <d:rFont val="Calibri"/>
      </d:rPr>
      <d:t xml:space="preserve">https://members.wto.org/crnattachments/2024/SPS/EEC/24_04417_00_e.pdf
https://members.wto.org/crnattachments/2024/SPS/EEC/24_04417_00_f.pdf
https://members.wto.org/crnattachments/2024/SPS/EEC/24_04417_00_s.pdf</d:t>
    </d:r>
  </si>
  <si>
    <t>Revision of the Ministerial ordinance and Notifications under the Act on the Rational Use and Proper Management of Fluorocarbons</t>
  </si>
  <si>
    <t>Establishment of the criteria under the Act on the Rational Use and Proper Management of Fluorocarbons, i.e., the Global Warming Potential (hereinafter “GWP”) targets which the products listed in item 4 must satisfy, and the fiscal year targets by which the above GWP targets must be satisfied.</t>
  </si>
  <si>
    <t>Air conditioners for commercial useRefrigerator and freezers for commercial use</t>
  </si>
  <si>
    <t>71.100.45 - Refrigerants and antifreezes</t>
  </si>
  <si>
    <d:r xmlns:d="http://schemas.openxmlformats.org/spreadsheetml/2006/main">
      <d:rPr>
        <d:sz val="11"/>
        <d:rFont val="Calibri"/>
      </d:rPr>
      <d:t xml:space="preserve">https://members.wto.org/crnattachments/2024/TBT/JPN/24_04403_00_e.pdf</d:t>
    </d:r>
  </si>
  <si>
    <t>Receipt of a Pesticide Petition Filed for Residues of Pesticide Chemicals in or on Various Commodities. Notice of filing of petition and request for comment</t>
  </si>
  <si>
    <t>This document announces the Agency's receipt of an initial filing of a pesticide petition requesting the establishment or modification of regulations for residues of pesticide chemicals in or on various commodities.</t>
  </si>
  <si>
    <d:r xmlns:d="http://schemas.openxmlformats.org/spreadsheetml/2006/main">
      <d:rPr>
        <d:sz val="11"/>
        <d:rFont val="Calibri"/>
      </d:rPr>
      <d:t xml:space="preserve">https://www.govinfo.gov/content/pkg/FR-2024-07-01/html/2024-14408.htm</d:t>
    </d:r>
  </si>
  <si>
    <t>Technical Regulationfor Tanks – Part 3: Natural Gas Tankers</t>
  </si>
  <si>
    <t>This regulation aims to specify the basic requirements for natural gas transport tanks; Covered in the scope of this regulation, and specifying the conformity assessment procedures that suppliers must adhere to, in order to ensure the conformity of this product, and to preserve the health and safety of road users.</t>
  </si>
  <si>
    <t xml:space="preserve">Motor vehicles for the transport of goods, with only compression-ignition internal combustion piston engine "diesel or semi-diesel", of a gross vehicle weight </t>
  </si>
  <si>
    <t>870421 - Motor vehicles for the transport of goods, with only compression-ignition internal combustion piston engine "diesel or semi-diesel", of a gross vehicle weight &lt;= 5 t (excl. dumpers for off-highway use of subheading 8704.10 and special purpose motor vehicles of heading 8705); 87163 - - Other trailers and semi-trailers for the transport of goods:</t>
  </si>
  <si>
    <t>75.200 - Petroleum products and natural gas handling equipment</t>
  </si>
  <si>
    <t>Consumer information, labelling (TBT); Prevention of deceptive practices and consumer protection (TBT); Protection of human health or safety (TBT); Other (TBT)</t>
  </si>
  <si>
    <d:r xmlns:d="http://schemas.openxmlformats.org/spreadsheetml/2006/main">
      <d:rPr>
        <d:sz val="11"/>
        <d:rFont val="Calibri"/>
      </d:rPr>
      <d:t xml:space="preserve">https://members.wto.org/crnattachments/2024/TBT/SAU/24_04406_00_x.pdf</d:t>
    </d:r>
  </si>
  <si>
    <t>DEAS 1129: 2023, Natural cinnamon extract — Specification, First Edition</t>
  </si>
  <si>
    <t>Burundi, Kenya, Rwanda, Tanzania and Uganda would like to inform WTO Members that the Draft East African Standard - DEAS 1129: 2023, Natural cinnamon extract — Specification, First Edition - notified in G/SPS/N/BDI/41, G/SPS/N/KEN/197, G/SPS/N/RWA/34, G/SPS/N/TZA/255 and G/SPS/N/UGA/238, was adopted by the East African Community Council of Ministers on 14 June 2024.</t>
  </si>
  <si>
    <t>Cinnamon "Cinnamomum zeylanicum Blume" (excl. crushed and ground) (HS code(s): 090611); Food additives (ICS code(s): 67.220.20)</t>
  </si>
  <si>
    <t>090611 - Cinnamon "Cinnamomum zeylanicum Blume" (excl. crushed and ground); 090611 - Cinnamon "Cinnamomum zeylanicum Blume" (excl. crushed and ground)</t>
  </si>
  <si>
    <t>DEAS 90: 2023, Compounded poultry feed — Specification, Third Edition</t>
  </si>
  <si>
    <t>Burundi, Kenya, Rwanda, Tanzania and Uganda would like to inform WTO Members that the Draft East African Standard - DEAS 90: 2023, Compounded poultry feed — Specification, Third Edition - notified in G/SPS/N/BDI/46, G/SPS/N/KEN/202, G/SPS/N/RWA/39, G/SPS/N/TZA/260 and G/SPS/N/UGA/243, was adopted by the East African Community Council of Ministers on 14 June 2024.</t>
  </si>
  <si>
    <t>Preparations of a kind used in animal feeding (excl. dog or cat food put up for retail sale) (HS code(s): 230990); Animal feeding stuffs (ICS code(s): 65.120)</t>
  </si>
  <si>
    <t>230990 - Preparations of a kind used in animal feeding (excl. dog or cat food put up for retail sale); 230990 - Preparations of a kind used in animal feeding (excl. dog or cat food put up for retail sale)</t>
  </si>
  <si>
    <t>Animal diseases; Food safety; Animal health; Human health; Adoption/publication/entry into force of reg.; Animal diseases; Food safety; Animal health; Human health</t>
  </si>
  <si>
    <t>DEAS 974:2023, Compounded dairy goat feed — Specification, Second Edition</t>
  </si>
  <si>
    <t>Burundi, Kenya, Rwanda, Tanzania and Uganda would like to inform WTO Members that the Draft East African Standard - DEAS 974:2023, Compounded dairy goat feed — Specification, Second Edition - notified in G/SPS/N/BDI/45, G/SPS/N/KEN/201, G/SPS/N/RWA/38, G/SPS/N/TZA/259 and G/SPS/N/UGA/242, was adopted by the East African Community Council of Ministers on 14 June 2024.</t>
  </si>
  <si>
    <t>Human health; Adoption/publication/entry into force of reg.; Animal health; Food safety; Animal diseases; Animal diseases; Food safety; Animal health; Human health</t>
  </si>
  <si>
    <t>DEAS 1130: 2023, Natural coffee extract — Specification, First Edition</t>
  </si>
  <si>
    <t>Burundi, Kenya, Rwanda, Tanzania and Uganda would like to inform WTO Members that the Draft East African Standard - DEAS 1130: 2023, Natural coffee extract — Specification, First Edition - notified in G/SPS/N/BDI/40, G/SPS/N/KEN/196, G/SPS/N/RWA/33, G/SPS/N/TZA/254 and G/SPS/N/UGA/237, was adopted by the East African Community Council of Ministers on 14 June 2024.</t>
  </si>
  <si>
    <t>Extracts, essences and concentrates, of coffee (HS code(s): 210111); Food additives (ICS code(s): 67.220.20)</t>
  </si>
  <si>
    <t>210111 - Extracts, essences and concentrates, of coffee; 210111 - Extracts, essences and concentrates, of coffee</t>
  </si>
  <si>
    <t>DEAS 55: 2023, Compounded pig feed — Specification, Third Edition</t>
  </si>
  <si>
    <t>Burundi, Kenya, Rwanda, Tanzania and Uganda would like to inform WTO Members that the Draft East African Standard - DEAS 55: 2023, Compounded pig feed — Specification, Third Edition - notified in G/SPS/N/BDI/47, G/SPS/N/KEN/203, G/SPS/N/RWA/40, G/SPS/N/TZA/261 and G/SPS/N/UGA/244, was adopted by the East African Community Council of Ministers on 14 June 2024.</t>
  </si>
  <si>
    <t>DEAS 973 - 1: 2023, Compounded fish feed — Specification – Part 1: Tilapia and catfish feeds, First Edition</t>
  </si>
  <si>
    <t>Burundi, Kenya, Rwanda, Tanzania and Uganda would like to inform WTO Members that the Draft East African Standard - DEAS 973 - 1: 2023, Compounded fish feed — Specification – Part 1: Tilapia and catfish feeds, First Edition - notified in G/SPS/N/BDI/44, G/SPS/N/KEN/200, G/SPS/N/RWA/37, G/SPS/N/TZA/258 and G/SPS/N/UGA/241, was adopted by the East African Community Council of Ministers on 14 June 2024.</t>
  </si>
  <si>
    <t>DEAS 1128: 2023, Food grade acesulfame potassium — Specification, First Edition</t>
  </si>
  <si>
    <t>Burundi, Kenya, Rwanda, Tanzania and Uganda would like to inform WTO Members that the Draft East African Standard - DEAS 1128: 2023, Food grade acesulfame potassium — Specification, First Edition - notified in G/SPS/N/BDI/42, G/SPS/N/KEN/198, G/SPS/N/RWA/35, G/SPS/N/TZA/256 and G/SPS/N/UGA/239, was adopted by the East African Community Council of Ministers on 14 June 2024.</t>
  </si>
  <si>
    <t>Nucleic acids and their salts, whether or not chemically defined; heterocyclic compounds (excl. with oxygen only or with nitrogen hetero-atom[s] only, compounds containing in the structure an unfused thiazole ring or a benzothiazole or phenothiazine ring-system, not further fused and aminorex "INN", brotizolam "INN", clotiazepam "INN", cloxazolam "INN", dextromoramide "INN", haloxazolam "INN", ketazolam "INN", mesocarb "INN", oxazolam "INN", pemoline "INN", phendimetrazine "INN", phenmetrazine "INN", sufentanil "INN", and salts thereof, and inorganic or organic compounds of mercury whether or not chemically defined, and products of 3002 10) (HS code(s): 293499); Food additives (ICS code(s): 67.220.20)</t>
  </si>
  <si>
    <t xml:space="preserve">293499 - Nucleic acids and their salts, whether or not chemically defined; heterocyclic compounds (excl. with oxygen only or with nitrogen hetero-atom[s] only, compounds containing in the structure an unfused thiazole ring or a benzothiazole or phenothiazine ring-system, not further fused and aminorex "INN", brotizolam "INN", clotiazepam "INN", cloxazolam "INN", dextromoramide "INN", haloxazolam "INN", ketazolam "INN", mesocarb "INN", oxazolam "INN", pemoline "INN", phendimetrazine "INN", phenmetrazine "INN", sufentanil "INN", and salts thereof, other fentanyls and their derivatives, and inorganic or organic compounds of mercury whether or not chemically defined, and products of 3002 10); 293499 - Nucleic acids and their salts, whether or not chemically defined; heterocyclic compounds (excl. with oxygen only or with nitrogen hetero-atom[s] only, compounds containing in the structure an unfused thiazole ring or a benzothiazole or phenothiazine ring-system, not further fused and aminorex "INN", brotizolam "INN", clotiazepam "INN", cloxazolam "INN", dextromoramide "INN", haloxazolam "INN", ketazolam "INN", mesocarb "INN", oxazolam "INN", pemoline "INN", phendimetrazine "INN", phenmetrazine "INN", sufentanil "INN", and salts thereof, and  inorganic or organic compounds of mercury whether or not chemically defined, and products of 3002 10)</t>
  </si>
  <si>
    <t>Animal health; Human health; Food safety; Animal diseases; Adoption/publication/entry into force of reg.; Animal diseases; Food safety; Animal health; Human health</t>
  </si>
  <si>
    <t>Proyecto de Resolución para regular la importación de plantas con raíz para propagación de Aglaonema (Aglaonema spp.) originarias de China (Draft Resolution regulating the importation of rooted Aglaonema (Aglaonema spp.) plants for propagation originating in China)</t>
  </si>
  <si>
    <t>The notified draft Resolution establishes the phytosanitary measures governing the importation of rooted Aglaonema (Aglaonema spp.) plants for propagation originating in China.</t>
  </si>
  <si>
    <d:r xmlns:d="http://schemas.openxmlformats.org/spreadsheetml/2006/main">
      <d:rPr>
        <d:sz val="11"/>
        <d:rFont val="Calibri"/>
      </d:rPr>
      <d:t xml:space="preserve">https://members.wto.org/crnattachments/2024/SPS/CRI/24_04341_00_s.pdf</d:t>
    </d:r>
  </si>
  <si>
    <t>DEAS 75: 2023, Compounded cattle feeds — Specification, Third Edition</t>
  </si>
  <si>
    <t>Burundi, Kenya, Rwanda, Tanzania and Uganda would like to inform WTO Members that the Draft East African Standard - DEAS 75: 2023, Compounded cattle feeds — Specification, Third Edition - notified in G/SPS/N/BDI/43, G/SPS/N/KEN/199, G/SPS/N/RWA/36, G/SPS/N/TZA/257 and G/SPS/N/UGA/240, was adopted by the East African Community Council of Ministers on 14 June 2024.</t>
  </si>
  <si>
    <t>Animal diseases; Animal health; Adoption/publication/entry into force of reg.; Animal diseases; Animal health</t>
  </si>
  <si>
    <t>DEAS 1131: 2023, Natural orange extract — Specification, First Edition</t>
  </si>
  <si>
    <t>Burundi, Kenya, Rwanda, Tanzania and Uganda would like to inform WTO Members that the Draft East African Standard - DEAS 1131: 2023, Natural orange extract — Specification, First Edition - notified in G/SPS/N/BDI/39, G/SPS/N/KEN/195, G/SPS/N/RWA/32, G/SPS/N/TZA/253 and G/SPS/N/UGA/236, was adopted by the East African Community Council of Ministers on 14 June 2024.</t>
  </si>
  <si>
    <t>Vegetable saps and extracts (excl. liquorice, hops, opium and ephedra) (HS code(s): 130219); Food additives (ICS code(s): 67.220.20)</t>
  </si>
  <si>
    <t>130219 - Vegetable saps and extracts (excl. liquorice, hops, opium and ephedra); 130219 - Vegetable saps and extracts (excl. liquorice, hops, opium and ephedra)</t>
  </si>
  <si>
    <t>DEAS 1132: 2023, Natural vanilla extract — Specification, First Edition</t>
  </si>
  <si>
    <t>Burundi, Kenya, Rwanda, Tanzania and Uganda would like to inform WTO Members that the Draft East African Standard - DEAS 1132: 2023, Natural vanilla extract — Specification, First Edition - notified in G/SPS/N/BDI/38, G/SPS/N/KEN/194, G/SPS/N/RWA/31, G/SPS/N/TZA/252 and G/SPS/N/UGA/235, was adopted by the East African Community Council of Ministers on 14 June 2024.</t>
  </si>
  <si>
    <t>Animal health; Animal diseases; Adoption/publication/entry into force of reg.; Animal diseases; Animal health</t>
  </si>
  <si>
    <t>Draft Commission Delegated Regulation amending Delegated Regulation (EU) 2021/1698 and Delegated Regulation (EU) 2021/2306 as regards the import into the Union of high-risk organic and in-conversion products</t>
  </si>
  <si>
    <t>It is proposed to delete the requirement of identity and physical checks and sampling for 100% of the consignments of high-risk organic and in-conversion products, and to introduce flexibility as regards the share of consignments of such high-risk products to be subjected to physical checks and sampling.</t>
  </si>
  <si>
    <t>Organic food and feed</t>
  </si>
  <si>
    <t>65.120 - Animal feeding stuffs; 67.040 - Food products in general</t>
  </si>
  <si>
    <d:r xmlns:d="http://schemas.openxmlformats.org/spreadsheetml/2006/main">
      <d:rPr>
        <d:sz val="11"/>
        <d:rFont val="Calibri"/>
      </d:rPr>
      <d:t xml:space="preserve">https://members.wto.org/crnattachments/2024/TBT/EEC/24_04336_00_e.pdf</d:t>
    </d:r>
  </si>
  <si>
    <t>Draft Resolution 1198, of 25 August 2023</t>
  </si>
  <si>
    <t>Draft Resolution 1198, of 25 August 2023 - previously notified through  G/SPS/N/BRA/2212 - was adopted as Normative Instruction 306, 1 July 2024. The regulation establishes the technological functions, maximum limits and conditions of use for food additives and technology aids authorized for use in food. The final text is available only in Portuguese and can be downloaded at:</t>
  </si>
  <si>
    <d:r xmlns:d="http://schemas.openxmlformats.org/spreadsheetml/2006/main">
      <d:rPr>
        <d:sz val="11"/>
        <d:rFont val="Calibri"/>
      </d:rPr>
      <d:t xml:space="preserve">https://members.wto.org/crnattachments/2024/SPS/BRA/24_04340_00_x.pdf
https://antigo.anvisa.gov.br/documents/10181/6778508/IN_306_2024_.pdf/25a562ac-5094-4a83-b7e9-52ce7cb06247</d:t>
    </d:r>
  </si>
  <si>
    <t>Repeal and replace of Feeds Regulations, 1983 with Feeds Regulations, 2024</t>
  </si>
  <si>
    <t>The Canadian Food Inspection Agency has recently published the Feeds Regulations, 2024.  These new regulations replace the previous Feeds Regulations, 1983. These modernized regulations include a range of new, and updated requirements that will improve the safety of livestock feed and the food production continuum, reflect international best practices, and support innovation within the animal feed sector. These changes will be gradually introduced, either through a delayed coming into force, or the use of a transition period to allow stakeholders, including exporters, to adapt to the new regulations.The new regulations include:requirements for regulated parties to develop and implement a preventive control plan which describes hazards associated with commodities and operational activities and how these risks are being mitigated (delayed coming into force of 12 months);requirements for more detailed record-keeping to better support risk management along the feed supply chain. Regulated parties will need to keep electronic or paper records of where feeds were purchased, and to whom they were sold, for a period of two years. (delayed coming into force of 12 months);updated general and safety standards for feed to better reflect current science, risks, production practices, and technology;licensing requirements for prescribed livestock feeds and activities for livestock feeds sold between provinces, exported and imported for sale (delayed coming into force of 18 months);an updated, clearer, and broader permissions approach for livestock feeds, namely for the approval of feed ingredients and registration of mixed feeds;new labelling requirements that require health and safety information to be in both official languages and the use of identification codes (lot numbers) on all livestock feed labels (coming into force immediately, with a 1-year transition period)an expanded scope of livestock species subject to the Feeds Act and Regulations. The following species will be added: game birds (pigeons, pheasants, partridges, quail, grouse, guinea fowl and pea fowl), ratites, bison, water buffalo, cervids, llamas, alpacas, molluscs, crustaceans, and bees. Mink and foxes will no longer be captured as they are not considered food producing animals. Cattle, horses, sheep, goats, swine, poultry (chickens, turkeys, ducks, and geese), fish, and rabbits will continue to remain in scope;updated and clarified exemptions from the Feeds Act and Regulations;the incorporation by reference (IBR) of various technical documents. IBR is a drafting technique used to bring the content of a document into a regulation, allowing greater flexibility to maintain an agile and flexible regulatory regime. IBR documents have the same force as the regulation into which they are incorporated. Documents incorporated into the Feeds Regulations, 2024 include:  single ingredient feeds; medicating ingredients; non-feed products allowed to be used in feed; nutrient guarantees and conditions allowed on livestock feed labels; maximum nutrient values in feed; maximum weed seeds in feed; maximum contaminant levels in feed; permissible claims allowed on livestock feed labels; and prescribed deleterious substances.Note: This measure is also notified to the Committee on Sanitary and Phytosanitary Measures as G/SPS/N/CAN/1396/Add.2.</t>
  </si>
  <si>
    <t>Livestock feeds imported under HS 2309 (preparations of a kind used in animal feeding) and livestock feeds and feed ingredients may be found in the following chapters 4, 5, 7, 9, 10, 11, 12, 13, 14, 15, 17, 18, 19, 20, 21, 23, 25, 26, 28, 29, 30, 31, 32, 35, 38, 39, 40, 44, 47.</t>
  </si>
  <si>
    <d:r xmlns:d="http://schemas.openxmlformats.org/spreadsheetml/2006/main">
      <d:rPr>
        <d:sz val="11"/>
        <d:rFont val="Calibri"/>
      </d:rPr>
      <d:t xml:space="preserve">Canada Gazette:
English: https://canadagazette.gc.ca/rp-pr/p2/2024/2024-07-03/html/sor-dors132-eng.html
French: https://canadagazette.gc.ca/rp-pr/p2/2024/2024-07-03/html/sor-dors132-fra.html
</d:t>
    </d:r>
  </si>
  <si>
    <t>Human health; Animal health; Food safety; Animal diseases; Adoption/publication/entry into force of reg.; Animal diseases; Food safety; Animal health; Human health</t>
  </si>
  <si>
    <t>Repeal and replace of Feeds Regulations, 1983 with Feeds Regulations, 2024</t>
  </si>
  <si>
    <t>The Canadian Food Inspection Agency has recently published the Feeds Regulations, 2024.  These new regulations replace the previous Feeds Regulations, 1983. These modernized regulations include a range of new, and updated requirements that will improve the safety of livestock feed and the food production continuum, reflect international best practices, and support innovation within the animal feed sector. These changes will be gradually introduced, either through a delayed coming into force, or the use of a transition period to allow stakeholders, including exporters, to adapt to the new regulations.The new regulations include:requirements for regulated parties to develop and implement a preventive control plan which describes hazards associated with commodities and operational activities and how these risks are being mitigated (delayed coming into force of 12 months);requirements for more detailed record-keeping to better support risk management along the feed supply chain. Regulated parties will need to keep electronic or paper records of where feeds were purchased, and to whom they were sold, for a period of two years. (delayed coming into force of 12 months);updated general and safety standards for feed to better reflect current science, risks, production practices, and technology;licensing requirements for prescribed livestock feeds and activities for livestock feeds sold between provinces, exported and imported for sale (delayed coming into force of 18 months);an updated, clearer, and broader permissions approach for livestock feeds, namely for the approval of feed ingredients and registration of mixed feeds;new labelling requirements that require health and safety information to be in both official languages and the use of identification codes (lot numbers) on all livestock feed labels (coming into force immediately, with a 1-year transition period)an expanded scope of livestock species subject to the Feeds Act and Regulations. The following species will be added: game birds (pigeons, pheasants, partridges, quail, grouse, guinea fowl and pea fowl), ratites, bison, water buffalo, cervids, llamas, alpacas, molluscs, crustaceans, and bees. Mink and foxes will no longer be captured as they are not considered food producing animals. Cattle, horses, sheep, goats, swine, poultry (chickens, turkeys, ducks, and geese), fish, and rabbits will continue to remain in scope;updated and clarified exemptions from the Feeds Act and Regulations;the incorporation by reference (IBR) of various technical documents. IBR is a drafting technique used to bring the content of a document into a regulation, allowing greater flexibility to maintain an agile and flexible regulatory regime. IBR documents have the same force as the regulation into which they are incorporated. Documents incorporated into the Feeds Regulations, 2024 include:  single ingredient feeds; medicating ingredients; non-feed products allowed to be used in feed; nutrient guarantees and conditions allowed on livestock feed labels; maximum nutrient values in feed; maximum weed seeds in feed; maximum contaminant levels in feed; permissible claims allowed on livestock feed labels; and prescribed deleterious substances.Note: This measure is also notified to the Committee on Technical Barriers to Trade under G/TBT/N/CAN/645/Add.2.The Feeds Regulations, 2024 can be found:English: Canada Gazette, Part 2, Volume 158, Number 14: Feeds Regulations, 2024French: La Gazette du Canada, Partie 2, volume 158, numéro 14 : Règlement de 2024 sur les aliments du bétail (canadagazette.gc.ca)</t>
  </si>
  <si>
    <t>Livestock feeds imported under HS 2309 (preparations of a kind used in animal feeding) and livestock feeds and feed ingredients may be found in the following chapters 4, 5, 7, 9, 10, 11, 12, 13, 14, 15, 17, 18, 19, 20, 21, 23, 25, 26, 28, 29, 30, 31, 32, 35, 38, 39, 40, 44, 47</t>
  </si>
  <si>
    <t>Adoption/publication/entry into force of reg.; Human health; Animal health; Food safety; Animal diseases; Human health; Animal health; Food safety; Animal diseases</t>
  </si>
  <si>
    <t>Food safety; Animal health; Human health; Animal diseases; Adoption/publication/entry into force of reg.; Animal diseases; Food safety; Animal health; Human health</t>
  </si>
  <si>
    <t>National Standard of the P.R.C., Safety requirements of electric vehicle conductive supply equipment</t>
  </si>
  <si>
    <t xml:space="preserve">This document specifies the general safety elements and testing requirements for electric vehicle supply equipment, including the design and production requirements for protecting the safety of supply equipment, users, and the surrounding environment, as well as the instruments and equipment used for compliance testing, test conditions, test sites, test methods, and calculation methods. For independent electrical accessories and auxiliary materials (such as connecting devices, cables, insulation materials, etc.) of supply equipment, they shall be used according to specific product standards in conjunction with this document._x000D_
This document applies to various types of supply equipment with a rated output voltage of 1000V AC or 1500V DC and below as defined in GB/T 18487.1, including supply equipment in charging mode 2, charging mode 3, and charging mode 4.</t>
  </si>
  <si>
    <t>various types of supply equipment with a rated output voltage of 1000V AC or 1500V DC and below as defined in GB/T 18487.1, including supply equipment in charging mode 2, charging mode 3, and charging mode 4 (HS code(s): 85); (ICS code(s): 43.040.99)</t>
  </si>
  <si>
    <t>43.040.99 - Other road vehicle systems</t>
  </si>
  <si>
    <d:r xmlns:d="http://schemas.openxmlformats.org/spreadsheetml/2006/main">
      <d:rPr>
        <d:sz val="11"/>
        <d:rFont val="Calibri"/>
      </d:rPr>
      <d:t xml:space="preserve">https://members.wto.org/crnattachments/2024/TBT/CHN/24_04329_00_x.pdf</d:t>
    </d:r>
  </si>
  <si>
    <t>Proposed regulatory change of the Swedish Energy Agency’s secondary legislation (STEMFS 2017:2) of guarantees of origin for electricity(Föreskrifter om ändring i Statens energimyndighets föreskrifter (STEMFS 2017:2) om ursprungsgarantier för el)</t>
  </si>
  <si>
    <t>The main change in the proposed regulation compared to the previous wording regards 14 § which regulates how electricity produced in power plants connected to a non-concessional grid should be measured. The change implies that electricity sent out on the grid should be measured on a 15- minute basis instead of hourly basis. Equivalent regulation already exists for power plants connected to a concessional grid. The regulatory changes imply a harmonization of rules for the producer no matter the grid connection (non-concessional or concessional).Measuring electricity on a 15-minute basis is already enforced in Commission Regulation (EU) 2017/2195 which establishing a guideline on electricity balancing. This is already implemented in national legislation through the electricity act (1997:857), government ordinance (1999:716) and secondary legislation (2023:1). Measuring electricity on a 15-minute basis in concessional grid for issuing guarantees of origin is already implemented. However, there is yet no regulations regarding measuring on a 15- minute basis in non-concessional grids. The Swedish government have already made changes in government ordinance that regulates the use of 15-minutes measuring values för issuing of electricity certificates. The Swedish government have already made changes in government ordinance that regulates the use of 15-minutes measuring for issuing guarantees of origin in non-concessional grid. Therefore The Swedish Energy Agency now propose to adjust the secondary legislation according to the government ordinance. The proposed changes to the secondary legislation will also equalize the rules for power plants connected to a concessional grid and those connected to a non-concessional grid. Unofficial translations available via the EU TRIS-database. </t>
  </si>
  <si>
    <t>The product that is foremost affected by the regulatory change is electricity meters used for measuring meter values for issuing of guaranties of origin. The meters must be equipped to meet the requirements of the regulatory change and be able to deliver meter readings per 15 minutes.</t>
  </si>
  <si>
    <t>17.220.20 - Measurement of electrical and magnetic quantities</t>
  </si>
  <si>
    <t>Harmonization (TBT); Other (TBT)</t>
  </si>
  <si>
    <d:r xmlns:d="http://schemas.openxmlformats.org/spreadsheetml/2006/main">
      <d:rPr>
        <d:sz val="11"/>
        <d:rFont val="Calibri"/>
      </d:rPr>
      <d:t xml:space="preserve">https://members.wto.org/crnattachments/2024/TBT/SWE/24_04308_00_x.pdf
https://members.wto.org/crnattachments/2024/TBT/SWE/24_04308_01_x.pdf</d:t>
    </d:r>
  </si>
  <si>
    <t>Revision of the “Enforcement Order of the Act on Preventing Mercury Pollution of the Environment” </t>
  </si>
  <si>
    <t>Based on Article 2, Paragraph 1 of the Act on Preventing Mercury Pollution of the Environment, the above products will be designated as specified mercury-using products whose manufacture is particularly in need of regulation. Their usage as components in the manufacture of other products will also be regulated. </t>
  </si>
  <si>
    <t xml:space="preserve">Specified mercury-using products listed below:Specified mercury-using productsEntry DateButton zinc silver oxide batteries with a mercury content [1]and button zinc air batteries with a mercury content 1.1.2026Compact fluorescent lamps with an integrated ballast (CFL.i) for general lighting purposes that are ≤ 30 watts with a mercury content not exceeding 5 mg per lamp burner1.1.2026Cold cathode fluorescent lamps (CCFL) and external electrode fluorescent lamps (EEFL) of all lengths for electronic displays, not included in the listing directly below._x000D_
(a) short length (≤ 500 mm) with mercury content exceeding 3.5 mg per lamp_x000D_
(b) medium length (&gt; 500 mm and ≤ 1 500 mm) with mercury content exceeding 5 mg per lamp_x000D_
(c) long length (&gt; 1500 mm) with mercury content exceeding 13 mg per lamp1.1.2026The following electrical and electronic measuring devices, except those installed in large-scale equipment or those used for high precision measurement, where no suitable mercury- free alternative is available:_x000D_
(a) Melt pressure transducers, melt pressure transmitters and melt pressure sensors1.1.2026Compact fluorescent lamps (CFLs) for general lighting purposes that are &gt; 30 watts1.1.2027Compact fluorescent lamps with a non-integrated ballast (CFL.ni) for general lighting purposes that are ≤ 30 watts with a mercury content not exceeding 5 mg per lamp burner1.1.2027Linear fluorescent lamps (LFLs) for general lighting purposes:_x000D_
(a) Halophosphate phosphor ≤ 40 watts with a mercury content not exceeding 10 mg per lamp_x000D_
(b) Halophosphate phosphor &gt; 40 watts1.1.2027Non-linear fluorescent lamps (NFLs) (e.g., U-bend and circular) for general lighting purposes:_x000D_
(b) Halophosphate phosphor, all wattages1.1.2027Linear fluorescent lamps (LFLs) for general lighting purposes:_x000D_
(a) Triband phosphor 1.1.2028Non-linear fluorescent lamps (NFLs) (e.g., U-bend and circular) for general lighting purposes:(a) Triband phosphor, all wattages1.1.2028[1] “silver oxide batteries (limited to those with a mercury content of less than one percent by weight that are button batteries)” are already Specified Mercury-using Products on the Enforcement Order (https://www.japaneselawtranslation.go.jp/en/laws/view/4280</t>
  </si>
  <si>
    <t>280540 - Mercury</t>
  </si>
  <si>
    <t>29.140.30 - Fluorescent lamps. Discharge lamps; 29.220 - Galvanic cells and batteries; 71.060.10 - Chemical elements</t>
  </si>
  <si>
    <d:r xmlns:d="http://schemas.openxmlformats.org/spreadsheetml/2006/main">
      <d:rPr>
        <d:sz val="11"/>
        <d:rFont val="Calibri"/>
      </d:rPr>
      <d:t xml:space="preserve">https://members.wto.org/crnattachments/2024/TBT/JPN/24_04309_00_e.pdf</d:t>
    </d:r>
  </si>
  <si>
    <t>Regulations on safety in use of buildings(Boverkets föreskrifter om säkerhet vid användning av byggnader)</t>
  </si>
  <si>
    <t>The new regulations consist of: 1 contains general provisions. 2 contains technical performance requirements for the construction of new buildings. 3 contains requirements for the alteration of buildings. The proposed regulations specify the technical performance requirements that buildings must be designed and constructed in such a way that during use or operation it does not entail an unacceptable risk of accidents. The proposed regulations specify the technical property requirement in ch. 3. Section 10 of the Planning and Building Ordinance (2011:338), PBO.Unofficial translations will be available via the EU TRIS-database.</t>
  </si>
  <si>
    <t>Constructions works.</t>
  </si>
  <si>
    <d:r xmlns:d="http://schemas.openxmlformats.org/spreadsheetml/2006/main">
      <d:rPr>
        <d:sz val="11"/>
        <d:rFont val="Calibri"/>
      </d:rPr>
      <d:t xml:space="preserve">https://members.wto.org/crnattachments/2024/TBT/SWE/24_04320_00_x.pdf
https://members.wto.org/crnattachments/2024/TBT/SWE/24_04320_01_x.pdf</d:t>
    </d:r>
  </si>
  <si>
    <t>Resolución 0057: Establecimiento de requisitos fitosanitarios obligatorios para la importación de esquejes de cáñamo (Cannabis sativa) para la siembra, originarios de Uruguay (Resolution No. 0057 laying down the mandatory phytosanitary requirements governing the importation of hemp (Cannabis sativa) cuttings for sowing from Uruguay).</t>
  </si>
  <si>
    <t>The notified Resolution establishes mandatory phytosanitary requirements for the importation of hemp (Cannabis sativa) cuttings for planting from Uruguay.</t>
  </si>
  <si>
    <t>Hemp (Cannabis sativa) cuttings</t>
  </si>
  <si>
    <t>121190 - Plants, parts of plants, incl. seeds and fruits, used primarily in perfumery, in pharmacy or for insecticidal, fungicidal or similar purposes, fresh, chilled, frozen or dried, whether or not cut, crushed or powdered (excl. ginseng roots, coca leaf, poppy straw, ephedra and bark of African cherry)</t>
  </si>
  <si>
    <d:r xmlns:d="http://schemas.openxmlformats.org/spreadsheetml/2006/main">
      <d:rPr>
        <d:sz val="11"/>
        <d:rFont val="Calibri"/>
      </d:rPr>
      <d:t xml:space="preserve">https://members.wto.org/crnattachments/2024/SPS/ECU/24_04307_00_s.pdf</d:t>
    </d:r>
  </si>
  <si>
    <t>Propuesta de requisitos fitosanitarios para la importación de semillas de alelí para la siembra, originarias de Costa Rica (Draft phytosanitary requirements for the importation of hoary stock seeds for sowing originating in Costa Rica).</t>
  </si>
  <si>
    <t>The notified text establishes draft phytosanitary requirements for the importation of hoary stock seeds for sowing originating in Costa Rica.</t>
  </si>
  <si>
    <t>Hoary stock seeds (Matthiola incana)</t>
  </si>
  <si>
    <d:r xmlns:d="http://schemas.openxmlformats.org/spreadsheetml/2006/main">
      <d:rPr>
        <d:sz val="11"/>
        <d:rFont val="Calibri"/>
      </d:rPr>
      <d:t xml:space="preserve">https://members.wto.org/crnattachments/2024/SPS/ECU/24_04304_00_s.pdf</d:t>
    </d:r>
  </si>
  <si>
    <t>Technical Specification for the Verification and Inspection of Electric Vehicle Supply Equipment</t>
  </si>
  <si>
    <t>The purpose of this notification is to provide the final texts of “Technical Specification for the Verification and Inspection of Electric Vehicle Supply Equipment” and relevant dates of its implementation.The draft texts notified in “G/TBT/N/TPKM/531” were adopted without changes.</t>
  </si>
  <si>
    <t>Electric Vehicle Supply Equipment</t>
  </si>
  <si>
    <t>43.120 - Electric road vehicles; 43.120 - Electric road vehicles</t>
  </si>
  <si>
    <d:r xmlns:d="http://schemas.openxmlformats.org/spreadsheetml/2006/main">
      <d:rPr>
        <d:sz val="11"/>
        <d:rFont val="Calibri"/>
      </d:rPr>
      <d:t xml:space="preserve">https://members.wto.org/crnattachments/2024/TBT/TPKM/final_measure/24_04332_00_x.pdf
https://members.wto.org/crnattachments/2024/TBT/TPKM/final_measure/24_04332_01_x.pdf</d:t>
    </d:r>
  </si>
  <si>
    <t>National Standard of the P.R.C., Safety requirements for electric vehicle conductive charging system</t>
  </si>
  <si>
    <t xml:space="preserve">This document specifies the general safety principles , the safety of charging interfaces, the safety of AC charging, the safety of DC charging and the corresponding test methods of conductive charging system of electric vehicles.This document applies to AC and DC charging systems of electric vehicle , with a rated voltage on the power grid side not exceeding 1000V AC or 1500V DC, and a rated maximum voltage on the electric vehicle side not exceeding 1000V AC or 1500V DC._x000D_
This document also applies to the safety requirements for charging for electric vehicle charging and discharging systems.</t>
  </si>
  <si>
    <t>AC charging systems for electric vehicles and DC charging systems for electric vehicles (HS code(s): 85); (ICS code(s): 43.040.99)</t>
  </si>
  <si>
    <d:r xmlns:d="http://schemas.openxmlformats.org/spreadsheetml/2006/main">
      <d:rPr>
        <d:sz val="11"/>
        <d:rFont val="Calibri"/>
      </d:rPr>
      <d:t xml:space="preserve">https://members.wto.org/crnattachments/2024/TBT/CHN/24_04328_00_x.pdf</d:t>
    </d:r>
  </si>
  <si>
    <t>PC Nº200:2024 PROYECTO DE PROTOCOLO DE ANALISIS Y/O ENSAYOS DE SEGURIDAD DE CALEFACTORES QUE UTILIZAN LEÑA COMO COMBUSTIBLE, DE UNA POTENCIA MENOR O IGUAL A 25KW (PC No. 200:2024 Draft safety analysis and/or test protocol for wood-fired heaters of a power not exceeding 25kW) (12 pages, in Spanish)</t>
  </si>
  <si>
    <t>The notified Protocol establishes the safety certification procedure for stoves burning wood or wood products as fuel, with a rated thermal input not exceeding 25 kW, that fall within the scope and coverage of Official Chilean Standard NCh 3173.Of2009 "Estufas que utilizan combustibles sólidos - Requisitos y Métodos de Ensayo" (Solid-fuel heaters - Requirements and test methods), Supreme Decree No. 39/2011 of the Ministry of the Environment approving the "Norma de emisión de material particulado, para los artefactos que combustionen o puedan combustionar leña y derivados de la madera" (Particulate matter emission Standard for appliances that burn or are able to burn wood and wood products) and Supreme Decree No. 46/2013 of the Ministry of the Environment revising the Standard established in Decree No. 39 of 2011. The notified Protocol does not apply to: • Heat-generating boilers used mainly to heat water • Cookers • Clay ovens G/TBT/N/CHL/689 - 2 -</t>
  </si>
  <si>
    <t>Wood-fired heaters of a power not exceeding 25kW.</t>
  </si>
  <si>
    <t>97.100.30 - Solid fuel heaters</t>
  </si>
  <si>
    <d:r xmlns:d="http://schemas.openxmlformats.org/spreadsheetml/2006/main">
      <d:rPr>
        <d:sz val="11"/>
        <d:rFont val="Calibri"/>
      </d:rPr>
      <d:t xml:space="preserve">https://members.wto.org/crnattachments/2024/TBT/CHL/24_04319_00_s.pdf
</d:t>
    </d:r>
  </si>
  <si>
    <t>Notice of Saudi Food and Drug Authority (SFDA), Decision No. 33906 dated 13 June 2024 entitled "Temporary ban of importation of salmon originated from Liège, Belgium</t>
  </si>
  <si>
    <t>Following the WOAH report dated 4 June 2024, an Infectious Hematopoietic Necrosis Virus (IHNV) outbreak has occurred in Liège, Belgium. In compliance with the World Organisation for Animal Health (WOAH) Aquatic Animal Health Code Chapter 10.6, it is deemed necessary for the Kingdom of Saudi Arabia to prevent the entry of the IHNV virus into the country. Therefore, the import of salmon fish from Liège, Belgium, to the Kingdom of Saudi Arabia is temporarily suspended, with the exception of: (a) aquatic salmon fish that have been subjected to a heat-treatment sufficient to inactivate IHNV as long as they conform with the approved health requirements, and standards, with a health certificate issued by the official bodies in Belgium prove that the product is free from the virus); (b) mechanically dried, eviscerated fish subjected to a heat-treatment; (c) fish skin leather subjected to a heat-treatment; (d) fish oil.</t>
  </si>
  <si>
    <t>Salmon</t>
  </si>
  <si>
    <t>160411 - Prepared or preserved salmon, whole or in pieces (excl. minced); 030541 - Smoked Pacific salmon "Oncorhynchus nerka, Oncorhynchus gorbuscha, Oncorhynchus keta, Oncorhynchus tschawytscha, Oncorhynchus kisutch, Oncorhynchus masou and Oncorhynchus rhodurus", Atlantic salmon "Salmo salar" and Danube salmon "Hucho hucho", incl. fillets (excl. offal); 030481 - Frozen fillets of Pacific salmon "Oncorhynchus nerka, Oncorhynchus gorbuscha, Oncorhynchus keta, Oncorhynchus tschawytscha, Oncorhynchus kisutch, Oncorhynchus masou and Oncorhynchus rhodurus", Atlantic salmon "Salmo salar" and Danube salmon "Hucho hucho"; 030452 - Fresh or chilled meat, whether or not minced, of salmonidae (excl. fillets); 030441 - Fresh or chilled fillets of Pacific salmon "Oncorhynchus nerka, Oncorhynchus gorbuscha, Oncorhynchus keta, Oncorhynchus tschawytscha, Oncorhynchus kisutch, Oncorhynchus masou and Oncorhynchus rhodurus", Atlantic salmon "Salmo salar" and Danube salmon "Hucho hucho"; 03031 - - Salmonidae, excluding edible fish offal of subheadings 0303.91 to 0303.99 :; 03021 - - Salmonidae, excluding edible fish offal of subheadings 0302.91 to 0302.99 :</t>
  </si>
  <si>
    <d:r xmlns:d="http://schemas.openxmlformats.org/spreadsheetml/2006/main">
      <d:rPr>
        <d:sz val="11"/>
        <d:rFont val="Calibri"/>
      </d:rPr>
      <d:t xml:space="preserve">https://members.wto.org/crnattachments/2024/SPS/SAU/24_04294_00_x.pdf</d:t>
    </d:r>
  </si>
  <si>
    <t xml:space="preserve">The proposed amendments seek to:_x000D_
1. Establish the microbiological criteria for the food of vending machine;_x000D_
2. Revise the lists of food ingredients in Annex 1.</t>
  </si>
  <si>
    <d:r xmlns:d="http://schemas.openxmlformats.org/spreadsheetml/2006/main">
      <d:rPr>
        <d:sz val="11"/>
        <d:rFont val="Calibri"/>
      </d:rPr>
      <d:t xml:space="preserve">https://members.wto.org/crnattachments/2024/SPS/KOR/24_04327_00_x.pdf</d:t>
    </d:r>
  </si>
  <si>
    <t>Resolución 0063 - Actualización de los requisitos fitosanitarios obligatorios para la importación de granos de maíz (Zea mays) para consumo, originarios de Argentina (Resolution No. 0063 updating the mandatory phytosanitary requirements governing the importation of maize grains (Zea mays) for consumption from Argentina).</t>
  </si>
  <si>
    <t>The notified Resolution updates the mandatory phytosanitary requirements governing the importation into Ecuador of maize grains (Zea mays) for consumption from Argentina.</t>
  </si>
  <si>
    <t>Maize grains (Zea mays)</t>
  </si>
  <si>
    <t>100590 - Maize (excl. seed for sowing)</t>
  </si>
  <si>
    <d:r xmlns:d="http://schemas.openxmlformats.org/spreadsheetml/2006/main">
      <d:rPr>
        <d:sz val="11"/>
        <d:rFont val="Calibri"/>
      </d:rPr>
      <d:t xml:space="preserve">https://members.wto.org/crnattachments/2024/SPS/ECU/24_04303_00_s.pdf</d:t>
    </d:r>
  </si>
  <si>
    <t>TRADE DESCRIPTIONS (CERTIFICATION AND MARKING OF ENGINE OIL FOR MOTOR VEHICLE) ORDER 2024(3 pages, in English)GUIDELINES FOR CERTIFICATION AND MARKING OF ENGINE OIL FOR MOTOR VEHICLES (54 pages, in English)</t>
  </si>
  <si>
    <t>The addendum is for notifying the members on the availability of the full text of the notified document (TBT/MYS 121)</t>
  </si>
  <si>
    <t>HS 2710.19.46 00: Lubricating oils – Others</t>
  </si>
  <si>
    <t>842123 - Oil or petrol-filters for internal combustion engines; 842123 - Oil or petrol-filters for internal combustion engines</t>
  </si>
  <si>
    <t>03.100 - Company organization and management; 03.100 - Company organization and management. Management systems</t>
  </si>
  <si>
    <d:r xmlns:d="http://schemas.openxmlformats.org/spreadsheetml/2006/main">
      <d:rPr>
        <d:sz val="11"/>
        <d:rFont val="Calibri"/>
      </d:rPr>
      <d:t xml:space="preserve">https://members.wto.org/crnattachments/2024/TBT/MYS/24_04299_00_e.pdf
https://members.wto.org/crnattachments/2024/TBT/MYS/24_04299_01_e.pdf</d:t>
    </d:r>
  </si>
  <si>
    <t>PC Nº201:2024 PROYECTO DE PROTOCOLO DE ANALISIS Y/O ENSAYOS DE SEGURIDAD DE CALEFACTORES A PELLETS DE MADERA, DE UNA POTENCIA MENOR O IGUAL A 25 KW (PC No. 201:2024 Draft safety analysis and/or test protocol for wood pellet stoves of a power not exceeding 25kW) (13 pages, in Spanish)</t>
  </si>
  <si>
    <t>The notified Protocol establishes the safety certification procedure for wood pellet stoves, with a rated thermal input not exceeding 25 kW, that fall within the scope and coverage of Official Chilean Standard (NCh) No. 3282 of 2013 "Artefactos de calefacción doméstica que utilizan pellets de madera - Requisitos y Métodos de Ensayo" (Wood pellet-fired domestic heating appliances - Requirements and test methods) and Supreme Decree No. 46/2013 of the Ministry of the Environment revising the "Norma de emisión de material particulado, para los artefactos que combustionen o puedan combustionar leña y derivados de la madera, contenida en el Decreto N° 39 de 2011" (Particulate matter emission Standard for appliances that burn or are able to burn wood and wood products, established in Decree No. 39 of 2011). The notified Protocol does not apply to: • Heat-generating boilers used mainly to heat water • Cookers • Clay ovens G/TBT/N/CHL/690 - 2 -</t>
  </si>
  <si>
    <t>Wood pellet stoves of a power not exceeding 25kW.</t>
  </si>
  <si>
    <d:r xmlns:d="http://schemas.openxmlformats.org/spreadsheetml/2006/main">
      <d:rPr>
        <d:sz val="11"/>
        <d:rFont val="Calibri"/>
      </d:rPr>
      <d:t xml:space="preserve">https://members.wto.org/crnattachments/2024/TBT/CHL/24_04326_00_s.pdf</d:t>
    </d:r>
  </si>
  <si>
    <t>DUS 2422:2024,  Standard test method for cavitation corrosion and erosion-corrosion characteristics of aluminum pumps with engine coolants, Second Edition</t>
  </si>
  <si>
    <t>This Draft Uganda Standard  covers the evaluation of the cavitation corrosion and erosion-corrosion characteristics of aluminum automotive water pumps with coolants. During the development of this test method, it was found that results obtained when testing two-phase coolants did not correlate with results from field tests. Therefore, the test method cannot be recommended as being a significant test for determining cavitation effects of two-phase coolants.</t>
  </si>
  <si>
    <t>71 - Chemical technology</t>
  </si>
  <si>
    <t>Boverkets mandatory provisions for protection with regard to hygiene, health and environment, and also economical management of water and waste.(Boverkets föreskrifter om skydd med hänsyn till hygien, hälsa och miljö samt hushållning med vatten och avfall)</t>
  </si>
  <si>
    <t>Boverket proposes new regulations for protection with regard to hygiene, health and environment, and also economical management of water and waste. The proposed regulations will replace the corresponding rules which are to be repealed.The proposed regulations specify 1. Chapter 3, Section 9 of the Planning and Building Ordinance (2011:338) concerning protection with regard to hygiene, health and the environment, 2. Chapter 3, Section 20 of the Planning and Building Ordinance concerning economical management of water, and 3. Chapter 8, Section 4 §, first paragraph of the Planning and Building Act (2010:900). concerning economical management of waste.</t>
  </si>
  <si>
    <t>Building / construction products</t>
  </si>
  <si>
    <t>13.030.20 - Liquid wastes. Sludge</t>
  </si>
  <si>
    <d:r xmlns:d="http://schemas.openxmlformats.org/spreadsheetml/2006/main">
      <d:rPr>
        <d:sz val="11"/>
        <d:rFont val="Calibri"/>
      </d:rPr>
      <d:t xml:space="preserve">https://members.wto.org/crnattachments/2024/TBT/SWE/24_04311_00_x.pdf
https://members.wto.org/crnattachments/2024/TBT/SWE/24_04311_01_x.pdf</d:t>
    </d:r>
  </si>
  <si>
    <t>DUS 2412:2024, Standard test method for sulfate ion in water, Second Edition</t>
  </si>
  <si>
    <t>This Draft Uganda Standard covers the turbidimetric determination of sulfate in water in the range from 5 mg/L to 40 mg/L of sulfate ion (SO4––). The test method was used successfully with drinking, ground, and surface waters. It is the user's responsibility to ensure the validity of this test method for waters of untested matrices.</t>
  </si>
  <si>
    <t>Draft Decree of the Chairman of the Indonesian Quarantine Authority Concerning Quarantine Documents And Seals</t>
  </si>
  <si>
    <t>Referring to G/SPS/N/IDN/148, Indonesia will require the following documents for the importation of animal and animal products, fish and fish products, plant and plant products into the territory of Indonesia:Prior Notice (Code of document: K-1.2): This document will provide initial information and notification for the commodities which will be exported to Indonesia. This document must be sent by the Exporting Country to the Indonesian Quarantine Authority prior to the departure of the said commodities to Indonesia;Notification of Non-Compliance (Code of document: K-7.4)This document will provide notification for non-compliance of SPS issues related to the importation of animal and animal product, fish and fish product, plant and plant products into the territory of Indonesia.Furthermore, Indonesia will also issue the following  documents for the exportation of animal and animal products, fish and fish products, plant and plant products from the territory of Indonesia:Animal Health Certificate (Code of document: KH-1): This document certifies the health of the carrier media, especially animals which will be sent from one area to another area within the territory of Indonesia, and those that will be exported to destination country;Sanitary Certificate of Animal Products (Code of document: KH-2): This document certifies the health of the carrier media, especially animal products that will be sent from one area to another area within the territory of Indonesia, and those that will be exported to destination country;Health Certificate for Fish and Fish Products (Code of document: KI-1): This document certifies the health of the carrier media, especially fish and fish products, which will be exported to destination country;Phytosanitary Certificate (Code of document: KT-1): This document certifies the health of the carrier media, especially plant and plant products, which will be sent from one area to another within the territory of Indonesia, and those that will be exported to destination country;Phytosanitary Certificate for re-export (Code of document: KT-2):  This document certifies the carrier media that enter the territory of Indonesia, including information regarding quarantine measures that have been conducted for the said carrier media;Certification for Export of Processed Product/Non-Regulated Article (Code of document: KT-4): This document certifies the health of processed carrier media, including information regarding the quarantine measures that have been conducted for the said processed carrier media. This document will be sent by the exporting countries to the importing country, if the National Plant Protection Office (NPPO) of the importing country requires it.</t>
  </si>
  <si>
    <t>Animal and animal products, fish and fish product, plant and plant products</t>
  </si>
  <si>
    <t>Animal health; Human health; Plant health; Food safety; Territory protection; Animal diseases</t>
  </si>
  <si>
    <d:r xmlns:d="http://schemas.openxmlformats.org/spreadsheetml/2006/main">
      <d:rPr>
        <d:sz val="11"/>
        <d:rFont val="Calibri"/>
      </d:rPr>
      <d:t xml:space="preserve">https://members.wto.org/crnattachments/2024/SPS/IDN/24_04258_00_x.pdf
https://members.wto.org/crnattachments/2024/SPS/IDN/24_04258_01_x.pdf</d:t>
    </d:r>
  </si>
  <si>
    <t>Resolución 0054: Establecimiento de los requisitos fitosanitarios obligatorios para la importación de semillas de alhelí (Matthiola incana) para la siembra, originarias de Costa Rica (Resolution No. 0054 laying down the mandatory phytosanitary requirements governing the importation of hoary stock (Matthiola incana) seeds for sowing from Costa Rica).</t>
  </si>
  <si>
    <t>The notified Resolution establishes the mandatory phytosanitary requirements for the importation of hoary stock (Matthiola incana) seeds for sowing from Costa Rica.</t>
  </si>
  <si>
    <t>Hoary stock (Matthiola incana) seeds</t>
  </si>
  <si>
    <d:r xmlns:d="http://schemas.openxmlformats.org/spreadsheetml/2006/main">
      <d:rPr>
        <d:sz val="11"/>
        <d:rFont val="Calibri"/>
      </d:rPr>
      <d:t xml:space="preserve">https://members.wto.org/crnattachments/2024/SPS/ECU/24_04305_00_s.pdf</d:t>
    </d:r>
  </si>
  <si>
    <t>Resolution – RDC number 591, 21 December 2021</t>
  </si>
  <si>
    <t>The Resolution 886, 26 Junho 2024 - previously notified through  G/TBT/N/BRA/1297/Add.2 - which contains provisions on the identification of regularized medical devices at Anvisa, through the Unique Device Identification (UDI) system, was rectified.Where it reads: "Resolution 886, 26 June 2024"; Read: "Resolution 884, 26 June 26 2024".The republished text is available only in Portuguese and can be downloaded at:  https://www.in.gov.br/en/web/dou/-/retificacao-569312444</t>
  </si>
  <si>
    <t>HS (3006)</t>
  </si>
  <si>
    <t>3006 - Pharmaceutical preparations and products of subheadings 3006.10.10 to 3006.60.90; 3006 - Pharmaceutical preparations and products of subheadings 3006.10.10 to 3006.60.90; 3006 - Pharmaceutical preparations and products of subheadings 3006.10.10 to 3006.60.90</t>
  </si>
  <si>
    <t>11.040 - Medical equipment; 11.040 - Medical equipment; 11.040 - Medical equipment</t>
  </si>
  <si>
    <t>Human health; Human health; Human health</t>
  </si>
  <si>
    <d:r xmlns:d="http://schemas.openxmlformats.org/spreadsheetml/2006/main">
      <d:rPr>
        <d:sz val="11"/>
        <d:rFont val="Calibri"/>
      </d:rPr>
      <d:t xml:space="preserve">https://members.wto.org/crnattachments/2024/TBT/BRA/24_04325_00_x.pdf</d:t>
    </d:r>
  </si>
  <si>
    <t>Boverkets mandatory provisions and general recommendations for safety in case of fire in buildings </t>
  </si>
  <si>
    <t>Boverket proposes new regulations on safety in case of fire in buildings. The proposed regulations will replace the corresponding rules on safety in case of fire in the current regulations which are to be repealed.The proposed regulations specify the technical requirement in Chapter 3, Section 8 of the Planning and Building Ordinance (2011:338) regarding safety in case of fire in buildings.Unofficial translations will be available via the EU TRIS-database.Detalj anmälan | TRIS - European Commission (europa.eu)</t>
  </si>
  <si>
    <t>Buildings/construction products</t>
  </si>
  <si>
    <t>13.220.50 - Fire-resistance of building materials and elements</t>
  </si>
  <si>
    <d:r xmlns:d="http://schemas.openxmlformats.org/spreadsheetml/2006/main">
      <d:rPr>
        <d:sz val="11"/>
        <d:rFont val="Calibri"/>
      </d:rPr>
      <d:t xml:space="preserve">https://members.wto.org/crnattachments/2024/TBT/SWE/24_04316_00_x.pdf
https://members.wto.org/crnattachments/2024/TBT/SWE/24_04316_01_x.pdf</d:t>
    </d:r>
  </si>
  <si>
    <t>Boverket´s regulations on accessibility and usability for people with reduced mobility or orientation ability in buildings.(Boverkets föreskrifter om tillgänglighet och användbarhet för personer med nedsatt rörelse- eller orienteringsförmåga i byggnader.)</t>
  </si>
  <si>
    <t>The new regulations consist of: 1 contains general provisions . 2 contains design requirements for the construction of new buildings. 3 contains technical performance requirements for the construction of new buildings. 4 contains requirements for the alteration of buildings.The proposed regulations specify design requirements and the technical performance requirement regarding accessibility and usability in Chapter 8, Sections 1, 4 of PBA and Chapter 3, Sections 4 and 18 of PBO.Unofficial translations will be available via the EU TRIS-database- Detalj anmälan | TRIS - European Commission (europa.eu)</t>
  </si>
  <si>
    <t>91.140.99 - Other installations in buildings</t>
  </si>
  <si>
    <d:r xmlns:d="http://schemas.openxmlformats.org/spreadsheetml/2006/main">
      <d:rPr>
        <d:sz val="11"/>
        <d:rFont val="Calibri"/>
      </d:rPr>
      <d:t xml:space="preserve">https://members.wto.org/crnattachments/2024/TBT/SWE/24_04321_00_x.pdf
https://members.wto.org/crnattachments/2024/TBT/SWE/24_04321_01_x.pdf</d:t>
    </d:r>
  </si>
  <si>
    <t>Boverket's mandatory provisions for suitability of housing for its intended purpose(Boverkets föreskrifter om bostäders lämplighet för sitt ändamål)</t>
  </si>
  <si>
    <t>The new regulations consist of: 1. General provisions. 2. Provisions on design requirements for housing when constructing new buildings. 3. Provisions on technical requirements for housing when constructing new buildings. 4. Provisions on requirements for housing when modifying buildings.Section 1 PBF and the technical property requirement regarding suitability for the intended purpose in Chapter 3, section 1 and 17 of PBO. The regulations from Boverket are limited to addressing the suitability of housing for its intended purpose.Unofficial translations will be available via the TRIS database, see link: Detalj anmälan | TRIS - European Commission (europa.eu)</t>
  </si>
  <si>
    <t>91 - CONSTRUCTION MATERIALS AND BUILDING</t>
  </si>
  <si>
    <d:r xmlns:d="http://schemas.openxmlformats.org/spreadsheetml/2006/main">
      <d:rPr>
        <d:sz val="11"/>
        <d:rFont val="Calibri"/>
      </d:rPr>
      <d:t xml:space="preserve">https://members.wto.org/crnattachments/2024/TBT/SWE/24_04300_00_x.pdf
https://members.wto.org/crnattachments/2024/TBT/SWE/24_04300_01_x.pdf</d:t>
    </d:r>
  </si>
  <si>
    <t>Boverkets mandatory provisions and general recommendations for the load-bearing capacity, stability and durability of construction works.</t>
  </si>
  <si>
    <t>Boverket suggests new mandatory provisions and general recommendations for the load-bearing capacity, stability and durability of construction works.The suggested mandatory provisions and general recommendations are precisions to Chapter 3, Section 7 of the Planning and Building Ordinance (2011:388) that a construction works must be designed and constructed in such a way that the impact to which the structure is likely subjected when being built or used does not lead to the following: 1. complete or partial collapse of the construction works; 2. unacceptable major deformations; 3. damage to other parts of the construction works, its installations or fixed equipment due to major deformations of the load-bearing structure; or 4. damage that is not in proportion with the incident that caused the damage.Unofficial translations will be available in the TRIS-database. Detalj anmälan | TRIS - European Commission (europa.eu)</t>
  </si>
  <si>
    <d:r xmlns:d="http://schemas.openxmlformats.org/spreadsheetml/2006/main">
      <d:rPr>
        <d:sz val="11"/>
        <d:rFont val="Calibri"/>
      </d:rPr>
      <d:t xml:space="preserve">https://members.wto.org/crnattachments/2024/TBT/SWE/24_04301_00_x.pdf
https://members.wto.org/crnattachments/2024/TBT/SWE/24_04301_01_x.pdf</d:t>
    </d:r>
  </si>
  <si>
    <t>Resolución 0032: Establecimiento de requisitos fitosanitarios obligatorios para la importación de semillas de moluccella (Moluccella leavis) para la siembra, originarias de Israel (Resolution No. 0032 laying down the mandatory phytosanitary requirements governing the importation of Bells of Ireland (Moluccella leavis) seeds for sowing from Israel).</t>
  </si>
  <si>
    <t>The notified Resolution establishes the mandatory phytosanitary requirements for the importation of Bells of Ireland (Moluccella leavis) seeds for sowing from Israel.</t>
  </si>
  <si>
    <t>Bells of Ireland (Moluccella leavis) seeds</t>
  </si>
  <si>
    <d:r xmlns:d="http://schemas.openxmlformats.org/spreadsheetml/2006/main">
      <d:rPr>
        <d:sz val="11"/>
        <d:rFont val="Calibri"/>
      </d:rPr>
      <d:t xml:space="preserve">https://members.wto.org/crnattachments/2024/SPS/ECU/24_04306_00_s.pdf</d:t>
    </d:r>
  </si>
  <si>
    <t>National Standard of the P.R.C.,  Safety technical specification for electric self-balancing vehicles</t>
  </si>
  <si>
    <t>"5.1 Non-metallic materials" is changed to "5.1 Flame retardancy", and "10.2.3 Permanent marking ＂and ＂10.2.4 Durability of permanent marking" are added in the document. </t>
  </si>
  <si>
    <t>electric self-balancing vehicles (HS code(s): 871160); (ICS code(s): 25.040.30)</t>
  </si>
  <si>
    <t>871160 - Motorcycles, incl. mopeds, and cycles fitted with an auxiliary motor, with electric motor for propulsion; 871160 - Motorcycles, incl. mopeds, and cycles fitted with an auxiliary motor, with electric motor for propulsion</t>
  </si>
  <si>
    <t>25.040.30 - Industrial robots. Manipulators; 25.040.30 - Industrial robots. Manipulators</t>
  </si>
  <si>
    <d:r xmlns:d="http://schemas.openxmlformats.org/spreadsheetml/2006/main">
      <d:rPr>
        <d:sz val="11"/>
        <d:rFont val="Calibri"/>
      </d:rPr>
      <d:t xml:space="preserve">https://members.wto.org/crnattachments/2024/TBT/CHN/modification/24_04330_00_x.pdf</d:t>
    </d:r>
  </si>
  <si>
    <t>Protection against noise(Boverkets föreskrifter om skydd mot buller i byggnader)</t>
  </si>
  <si>
    <t>Boverket – the Swedish National Board of Housing, Building and Planning proposes new regulations on protection against noise in buildings.The proposed regulations specify the technical property requirement in ch. 3. Section 13 of the Planning and Building Ordinance (2011:338), PBF, that buildings must be designed and constructed in such a way that noise, perceived by the users or other persons in the vicinity of the building, is at a level that does not entail an unacceptable risk for these persons' health and, which enables, sleep, rest and work under satisfactory conditions.Unofficial translations will be available via the TRIS database, see link: Detalj anmälan | TRIS - European Commission (europa.eu)</t>
  </si>
  <si>
    <t>91.120.20 - Acoustics in building. Sound insulation</t>
  </si>
  <si>
    <d:r xmlns:d="http://schemas.openxmlformats.org/spreadsheetml/2006/main">
      <d:rPr>
        <d:sz val="11"/>
        <d:rFont val="Calibri"/>
      </d:rPr>
      <d:t xml:space="preserve">https://members.wto.org/crnattachments/2024/TBT/SWE/24_04312_00_x.pdf
https://members.wto.org/crnattachments/2024/TBT/SWE/24_04312_01_x.pdf</d:t>
    </d:r>
  </si>
  <si>
    <t>Proposed regulatory change of the Swedish Energy Agency’s secondary legislation and general advice (STEMFS 2011:4) of electricity certificates(Föreskrifter om ändring i Statens energimyndighets föreskrifter och allmänna råd (STEMFS 2011:4) om elcertifikat)</t>
  </si>
  <si>
    <t>The main change in the proposed regulation compared to the previous wording regards chapter 3 paragraph 3 which regulates how electricity produced in power plants connected to a non-concessional grid should be measured. The change implies that electricity sent out on the grid should be measured on a 15-minute basis instead of hourly basis. Equivalent regulation already exists for power plants connected to a concessional grid. The regulatory changes imply a harmonization of rules for the producers no matter the grid connection (non- concessional or concessional).Measuring electricity on a 15-minute basis is already enforced in Commission Regulation (EU) 2017/2195 which establishing a guideline on electricity balancing. This is already implemented in national legislation through the electricity act(1997:857), government ordinance (1999:716) and secondary legislation (2023:1). Measuring electricity on a 15-minute basis in concessional grid for issuing of electricity certificates is already implemented. However, there is yet no regulation regarding measuring on a 15- minute basis in non-concessional grid. The Swedish government have already made changes in government ordinance that regulates the use of 15-minutes measuring for issuing electricity certificates in non-concessional grid. Therefore The Swedish Energy Agency now propose to adjust the secondary legislation according to the government ordinance. The proposed changes to the secondary legislation will also equalize the rules for power plants connected to a concessional grid and those connected to a non-concessional grid.Unofficial translations will be available via the TRIS database, see link: Detalj anmälan | TRIS - European Commission (europa.eu)</t>
  </si>
  <si>
    <t>Electricity meters</t>
  </si>
  <si>
    <d:r xmlns:d="http://schemas.openxmlformats.org/spreadsheetml/2006/main">
      <d:rPr>
        <d:sz val="11"/>
        <d:rFont val="Calibri"/>
      </d:rPr>
      <d:t xml:space="preserve">https://members.wto.org/crnattachments/2024/TBT/SWE/24_04318_00_x.pdf
https://members.wto.org/crnattachments/2024/TBT/SWE/24_04318_01_x.pdf</d:t>
    </d:r>
  </si>
  <si>
    <t>DEAS 90:2023, Compounded poultry feed — Specification, Third Edition</t>
  </si>
  <si>
    <t>Burundi, Kenya, Rwanda, Tanzania and Uganda would like to inform WTO Members that the Draft East African Standard; DEAS 90: 2023, Compounded poultry feed — Specification, Third Edition; notified in G/TBT/N/BDI/337, G/TBT/N/KEN/1399, G/TBT/N/RWA/844, G/TBT/N/TZA/923 and G/TBT/N/UGA/1752 was adopted by the East African Community Council of Ministers on 14 June 2024.</t>
  </si>
  <si>
    <t>Consumer information, labelling (TBT); Prevention of deceptive practices and consumer protection (TBT); Protection of animal or plant life or health (TBT); Quality requirements (TBT); Harmonization (TBT); Reducing trade barriers and facilitating trade (TBT)</t>
  </si>
  <si>
    <t>DEAS 1131:2023, Natural orange extract — Specification, First Edition</t>
  </si>
  <si>
    <t>Burundi, Kenya, Rwanda, Tanzania and Uganda would like to inform WTO Members that the Draft East African Standard; DEAS 1131:2023, Natural orange extract — Specification, First Edition; notified in G/TBT/N/BDI/330, G/TBT/N/KEN/1392, G/TBT/N/RWA/837, G/TBT/N/TZA/916 and G/TBT/N/UGA/1745 was adopted by the East African Community Council of Ministers on 14 June 2024.</t>
  </si>
  <si>
    <t>Vegetable saps and extracts (excl. liquorice, hops, pryrethrum, roots of plants containing rotenone and opium) (HS code(s): 130219); Food additives (ICS code(s): 67.220.20)</t>
  </si>
  <si>
    <t>130219 - Vegetable saps and extracts (excl. liquorice, hops, pryrethrum, roots of plants containing rotenone and opium); 130219 - Vegetable saps and extracts (excl. liquorice, hops, pryrethrum, roots of plants containing rotenone and opium)</t>
  </si>
  <si>
    <t>Consumer information, labelling (TBT); Prevention of deceptive practices and consumer protection (TBT); Protection of human health or safety (TBT); Protection of animal or plant life or health (TBT); Quality requirements (TBT); Harmonization (TBT); Reducing trade barriers and facilitating trade (TBT)</t>
  </si>
  <si>
    <t>DEAS 322: 2023, Wood poles, cross-arms and blocks for power and telecommunication lines — Specification, Second Edition</t>
  </si>
  <si>
    <t>Burundi, Kenya, Rwanda, Tanzania and Uganda would like to inform WTO Members that the Draft East African Standard; DEAS 322: 2023, Wood poles, cross-arms and blocks for power and telecommunication lines — Specification, Second Edition; notified in G/TBT/N/BDI/362, G/TBT/N/KEN/1442, G/TBT/N/RWA/873, G/TBT/N/TZA/976 and G/TBT/N/UGA/1778 was adopted by the East African Community Council of Ministers on 14 June 2024.</t>
  </si>
  <si>
    <t>WOOD AND ARTICLES OF WOOD; WOOD CHARCOAL (HS code(s): 44); Wood, sawlogs and sawn timber (ICS code(s): 79.040), Wooden poles, ross-arms, blocks</t>
  </si>
  <si>
    <t>44 - WOOD AND ARTICLES OF WOOD; WOOD CHARCOAL; 44 - WOOD AND ARTICLES OF WOOD; WOOD CHARCOAL</t>
  </si>
  <si>
    <t>79.040 - Wood, sawlogs and sawn timber; 79.040 - Wood, sawlogs and sawn timber</t>
  </si>
  <si>
    <t>Consumer information, labelling (TBT); Prevention of deceptive practices and consumer protection (TBT); Protection of human health or safety (TBT); Protection of the environment (TBT); Quality requirements (TBT); Harmonization (TBT); Reducing trade barriers and facilitating trade (TBT)</t>
  </si>
  <si>
    <t>DEAS 1128:2023, Food grade acesulfame potassium — Specification, First Edition</t>
  </si>
  <si>
    <t>Burundi, Kenya, Rwanda, Tanzania and Uganda would like to inform WTO Members that the Draft East African Standard; DEAS 1128:2023, Food grade acesulfame potassium — Specification, First Edition; notified in G/TBT/N/BDI/333, G/TBT/N/KEN/1395, G/TBT/N/RWA/840, G/TBT/N/TZA/919 and G/TBT/N/UGA/1748 was adopted by the East African Community Council of Ministers on 14 June 2024.</t>
  </si>
  <si>
    <t>Consumer information, labelling (TBT); Consumer information, labelling (TBT); Prevention of deceptive practices and consumer protection (TBT); Prevention of deceptive practices and consumer protection (TBT); Protection of human health or safety (TBT); Protection of human health or safety (TBT); Protection of the environment (TBT); Protection of the environment (TBT); Quality requirements (TBT); Quality requirements (TBT); Harmonization (TBT); Harmonization (TBT); Reducing trade barriers and facilitating trade (TBT); Reducing trade barriers and facilitating trade (TBT)</t>
  </si>
  <si>
    <t>DEAS 863: 2023, Paper and board — Cut-size paper — Specification, Second Edition</t>
  </si>
  <si>
    <t>Burundi, Kenya, Rwanda, Tanzania and Uganda would like to inform WTO Members that the Draft East African Standard; DEAS 863: 2023, Paper and board — Cut-size paper — Specification, Second Edition; notified in G/TBT/N/BDI/340, G/TBT/N/KEN/1403, G/TBT/N/RWA/847, G/TBT/N/TZA/926 and G/TBT/N/UGA/1755 was adopted by the East African Community Council of Ministers on 14 June 2024.</t>
  </si>
  <si>
    <t xml:space="preserve">Uncoated paper and paperboard, of a kind used for writing, printing or other graphic purposes, and non-perforated punch-cards and punch tape paper, in square or rectangular sheets with one side &gt; 435 mm or with one side  297 mm in the unfolded state,, not containing fibres obtained by a mechanical or chemi-mechanical process or of which </t>
  </si>
  <si>
    <t>480257 - Uncoated paper and paperboard, of a kind used for writing, printing or other graphic purposes, and non-perforated punch-cards and punch tape paper, in square or rectangular sheets with one side &gt; 435 mm or with one side &lt;= 435 mm and the other side &gt; 297 mm in the unfolded state,, not containing fibres obtained by a mechanical or chemi-mechanical process or of which &lt;= 10% by weight of the total fibre content consists of such fibres, and weighing 40 g to 150 g/m², n.e.s.; 480257 - Uncoated paper and paperboard, of a kind used for writing, printing or other graphic purposes, and non-perforated punch-cards and punch tape paper, in square or rectangular sheets with one side &gt; 435 mm or with one side &lt;= 435 mm and the other side &gt; 297 mm in the unfolded state,, not containing fibres obtained by a mechanical or chemi-mechanical process or of which &lt;= 10% by weight of the total fibre content consists of such fibres, and weighing 40 g to 150 g/m², n.e.s.</t>
  </si>
  <si>
    <t>85.080.01 - Paper products in general; 85.080.01 - Paper products in general</t>
  </si>
  <si>
    <t>Consumer information, labelling (TBT); Consumer information, labelling (TBT); Quality requirements (TBT); Quality requirements (TBT); Harmonization (TBT); Harmonization (TBT); Reducing trade barriers and facilitating trade (TBT); Reducing trade barriers and facilitating trade (TBT)</t>
  </si>
  <si>
    <t>DEAS 334: 2023, List by category of cosmetic products, Third Edition</t>
  </si>
  <si>
    <t>Burundi, Kenya, Rwanda, Tanzania and Uganda would like to inform WTO Members that the Draft East African Standard; DEAS 334: 2023, List by category of cosmetic products, Third Edition; notified in G/TBT/N/BDI/366, G/TBT/N/KEN/1446, G/TBT/N/RWA/877, G/TBT/N/TZA/980 and G/TBT/N/UGA/1783 was adopted by the East African Community Council of Ministers on 14 June 2024.</t>
  </si>
  <si>
    <t>ESSENTIAL OILS AND RESINOIDS; PERFUMERY, COSMETIC OR TOILET PREPARATIONS (HS code(s): 33); Cosmetics. Toiletries (ICS code(s): 71.100.70); Cosmetics</t>
  </si>
  <si>
    <t>Consumer information, labelling (TBT); Consumer information, labelling (TBT); Prevention of deceptive practices and consumer protection (TBT); Prevention of deceptive practices and consumer protection (TBT); Harmonization (TBT); Harmonization (TBT)</t>
  </si>
  <si>
    <t>DEAS 1150: 2023, Plastic monobloc chair — Specification, First Edition</t>
  </si>
  <si>
    <t>Burundi, Kenya, Rwanda, Tanzania and Uganda would like to inform WTO Members that the Draft East African Standard; DEAS 1150: 2023, Plastic monobloc chair — Specification, First Edition; notified in G/TBT/N/BDI/365, G/TBT/N/KEN/1445, G/TBT/N/RWA/876, G/TBT/N/TZA/979 and G/TBT/N/UGA/1782 was adopted by the East African Community Council of Ministers on 14 June 2024.</t>
  </si>
  <si>
    <t>PLASTICS AND ARTICLES THEREOF (HS code(s): 39); Other rubber and plastics products (ICS code(s): 83.140.99); Plastic monobloc chair</t>
  </si>
  <si>
    <t>39 - PLASTICS AND ARTICLES THEREOF; 39 - PLASTICS AND ARTICLES THEREOF</t>
  </si>
  <si>
    <t>83.140.99 - Other rubber and plastics products; 83.140.99 - Other rubber and plastics products</t>
  </si>
  <si>
    <t>DEAS 341: 2022, Nail polish remover — Specification, Third Edition</t>
  </si>
  <si>
    <t>Burundi, Kenya, Rwanda, Tanzania and Uganda would like to inform WTO Members that the Draft East African Standard; DEAS 341: 2022, Nail polish remover — Specification, Third Edition; notified in G/TBT/N/BDI/274, G/TBT/N/KEN/1302, G/TBT/N/RWA/708, G/TBT/N/TZA/827 and G/TBT/N/UGA/1682 was adopted by the East African Community Council of Ministers on 14 June 2024.</t>
  </si>
  <si>
    <t>- Manicure or pedicure preparations (HS code(s): 330430); Cosmetics. Toiletries (ICS code(s): 71.100.70)</t>
  </si>
  <si>
    <t>330430 - Manicure or pedicure preparations; 330430 - Manicure or pedicure preparations</t>
  </si>
  <si>
    <t>DEAS 1119-2: 2022, Skin applied mosquito repellent — Specification — Part 2: Sprays and roll-ons, First Edition</t>
  </si>
  <si>
    <t>Burundi, Kenya, Rwanda, Tanzania and Uganda would like to inform WTO Members that the Draft East African Standard; DEAS 1119-2: 2022, Skin applied mosquito repellent — Specification — Part 2: Sprays and roll-ons, First Edition; notified in G/TBT/N/BDI/305, G/TBT/N/KEN/1347, G/TBT/N/RWA/746, G/TBT/N/TZA/869 and G/TBT/N/UGA/1714 was adopted by the East African Community Council of Ministers on 14 June 2024.</t>
  </si>
  <si>
    <t>Insecticides, put up in forms or packings for retail sale or as preparations or articles (excl. goods of subheadings 3808.52 to 3808.69) (HS code(s): 380891); Insecticides (ICS code(s): 65.100.10)</t>
  </si>
  <si>
    <t>DEAS 1119-1: 2022, Skin applied mosquito repellent — Specification — Part 1: Lotions, creams, gels and ointments, First Edition</t>
  </si>
  <si>
    <t>Burundi, Kenya, Rwanda, Tanzania and Uganda would like to inform WTO Members that the Draft East African Standard; DEAS 1119-1: 2022, Skin applied mosquito repellent — Specification — Part 1: Lotions, creams, gels and ointments, First Edition; notified in G/TBT/N/BDI/306, G/TBT/N/KEN/1348, G/TBT/N/RWA/747, G/TBT/N/TZA/870 and G/TBT/N/UGA/1715 was adopted by the East African Community Council of Ministers on 14 June 2024.</t>
  </si>
  <si>
    <t>DEAS 356: 2023, Textiles — Requirements for inspection and acceptance of used textile products, Third Edition</t>
  </si>
  <si>
    <t>Burundi, Kenya, Rwanda, Tanzania and Uganda would like to inform WTO Members that the Draft East African Standard; DEAS 356: 2023, Textiles — Requirements for inspection and acceptance of used textile products, Third Edition; notified in G/TBT/N/BDI/346, G/TBT/N/KEN/1414, G/TBT/N/RWA/853, G/TBT/N/TZA/936 and G/TBT/N/UGA/1762 was adopted by the East African Community Council of Ministers on 14 June 2024.</t>
  </si>
  <si>
    <t>OTHER MADE-UP TEXTILE ARTICLES; SETS; WORN CLOTHING AND WORN TEXTILE ARTICLES; RAGS (HS code(s): 63); Textiles in general (ICS code(s): 59.080.01)</t>
  </si>
  <si>
    <t>63 - OTHER MADE-UP TEXTILE ARTICLES; SETS; WORN CLOTHING AND WORN TEXTILE ARTICLES; RAGS; 63 - OTHER MADE-UP TEXTILE ARTICLES; SETS; WORN CLOTHING AND WORN TEXTILE ARTICLES; RAGS</t>
  </si>
  <si>
    <t>59.080.01 - Textiles in general; 59.080.01 - Textiles in general</t>
  </si>
  <si>
    <t>Consumer information, labelling (TBT); Prevention of deceptive practices and consumer protection (TBT); Protection of human health or safety (TBT); Quality requirements (TBT); Harmonization (TBT)</t>
  </si>
  <si>
    <t>Burundi, Kenya, Rwanda, Tanzania and Uganda would like to inform WTO Members that the Draft East African Standard; DEAS 1132: 2023, Natural vanilla extract — Specification, First Edition; notified in G/TBT/N/BDI/329, G/TBT/N/KEN/1391, G/TBT/N/RWA/836, G/TBT/N/TZA/915 and G/TBT/N/UGA/1744 was adopted by the East African Community Council of Ministers on 14 June 2024.</t>
  </si>
  <si>
    <t>Consumer information, labelling (TBT); Consumer information, labelling (TBT); Prevention of deceptive practices and consumer protection (TBT); Prevention of deceptive practices and consumer protection (TBT); Protection of human health or safety (TBT); Protection of human health or safety (TBT); Protection of animal or plant life or health (TBT); Protection of animal or plant life or health (TBT); Quality requirements (TBT); Quality requirements (TBT); Harmonization (TBT); Harmonization (TBT); Reducing trade barriers and facilitating trade (TBT); Reducing trade barriers and facilitating trade (TBT)</t>
  </si>
  <si>
    <t>DEAS 325: 2023, Wood preservatives and treated timber — Guide to sampling and preparation of wood preservatives and treated timber for analysis, Second Edition</t>
  </si>
  <si>
    <t>Burundi, Kenya, Rwanda, Tanzania and Uganda would like to inform WTO Members that the Draft East African Standard; DEAS 325: 2023, Wood preservatives and treated timber — Guide to sampling and preparation of wood preservatives and treated timber for analysis, Second Edition; notified in G/TBT/N/BDI/360, G/TBT/N/KEN/1440, G/TBT/N/RWA/871, G/TBT/N/TZA/974 and G/TBT/N/UGA/1776 was adopted by the East African Community Council of Ministers on 14 June 2024.</t>
  </si>
  <si>
    <t>- Treated with paint, stains, creosote or other preservatives: (HS code(s): 44031); Wood-protecting chemicals (ICS code(s): 71.100.50)</t>
  </si>
  <si>
    <t>44031 - - Treated with paint, stains, creosote or other preservatives:; 44031 - - Treated with paint, stains, creosote or other preservatives:</t>
  </si>
  <si>
    <t>71.100.50 - Wood-protecting chemicals; 71.100.50 - Wood-protecting chemicals</t>
  </si>
  <si>
    <t>Prevention of deceptive practices and consumer protection (TBT); Prevention of deceptive practices and consumer protection (TBT); Protection of human health or safety (TBT); Protection of human health or safety (TBT); Protection of the environment (TBT); Protection of the environment (TBT); Quality requirements (TBT); Quality requirements (TBT); Harmonization (TBT); Harmonization (TBT)</t>
  </si>
  <si>
    <t>DEAS 326: 2023, Copper/chromium/arsenic composition for the preservation of timber — Specification,  Second edition</t>
  </si>
  <si>
    <t>Burundi, Kenya, Rwanda, Tanzania and Uganda would like to inform WTO Members that the Draft East African Standard; DEAS 326: 2023, Copper/chromium/arsenic composition for the preservation of timber — Specification,  Second edition; notified in G/TBT/N/BDI/359, G/TBT/N/KEN/1439, G/TBT/N/RWA/870, G/TBT/N/TZA/973 and G/TBT/N/UGA/1775 was adopted by the East African Community Council of Ministers on 14 June 2024.</t>
  </si>
  <si>
    <t>Wood in the rough, treated with paint, stains, creosote or other preservatives (excl. rough-cut wood for walking sticks, umbrellas, tool shafts and the like; wood in the form of railway sleepers; wood cut into boards or beams, etc.) (HS code(s): 440310); Wood-protecting chemicals (ICS code(s): 71.100.50)</t>
  </si>
  <si>
    <t>440310 - Wood in the rough, treated with paint, stains, creosote or other preservatives (excl. rough-cut wood for walking sticks, umbrellas, tool shafts and the like; wood in the form of railway sleepers; wood cut into boards or beams, etc.); 440310 - Wood in the rough, treated with paint, stains, creosote or other preservatives (excl. rough-cut wood for walking sticks, umbrellas, tool shafts and the like; wood in the form of railway sleepers; wood cut into boards or beams, etc.)</t>
  </si>
  <si>
    <t>Prevention of deceptive practices and consumer protection (TBT); Prevention of deceptive practices and consumer protection (TBT); Protection of human health or safety (TBT); Protection of human health or safety (TBT); Protection of animal or plant life or health (TBT); Protection of animal or plant life or health (TBT); Protection of the environment (TBT); Protection of the environment (TBT); Quality requirements (TBT); Quality requirements (TBT); Harmonization (TBT); Harmonization (TBT); Reducing trade barriers and facilitating trade (TBT); Reducing trade barriers and facilitating trade (TBT)</t>
  </si>
  <si>
    <t>DEAS 864: 2023, Photocopy paper — Specification, Second Edition</t>
  </si>
  <si>
    <t>Burundi, Kenya, Rwanda, Tanzania and Uganda would like to inform WTO Members that the Draft East African Standard; DEAS 864: 2023, Photocopy paper — Specification, Second Edition; notified in G/TBT/N/BDI/341, G/TBT/N/KEN/1404, G/TBT/N/RWA/848, G/TBT/N/TZA/927 and G/TBT/N/UGA/1756 was adopted by the East African Community Council of Ministers on 14 June 2024.</t>
  </si>
  <si>
    <t xml:space="preserve">Uncoated paper and paperboard, of a kind used for writing, printing or other graphic purposes, and non-perforated punchcards and punch-tape paper, in square or rectangular sheets with one side </t>
  </si>
  <si>
    <t>480256 - Uncoated paper and paperboard, of a kind used for writing, printing or other graphic purposes, and non-perforated punchcards and punch-tape paper, in square or rectangular sheets with one side &lt;= 435 mm and the other side &lt;= 297 mm in the unfolded state, not containing fibres obtained by a mechanical or chemi-mechanical process or of which &lt;= 10% by weight of the total fibre content consists of such fibres, and weighing 40 g to 150 g/m², n.e.s.; 480256 - Uncoated paper and paperboard, of a kind used for writing, printing or other graphic purposes, and non-perforated punchcards and punch-tape paper, in square or rectangular sheets with one side &lt;= 435 mm and the other side &lt;= 297 mm in the unfolded state, not containing fibres obtained by a mechanical or chemi-mechanical process or of which &lt;= 10% by weight of the total fibre content consists of such fibres, and weighing 40 g to 150 g/m², n.e.s.</t>
  </si>
  <si>
    <t>85.080.10 - Office paper; 85.080.10 - Office paper</t>
  </si>
  <si>
    <t>DEAS 96-1: 2023, Sanitary towels — Specification — Part 1: Disposable, Fourth Edition</t>
  </si>
  <si>
    <t>Burundi, Kenya, Rwanda, Tanzania and Uganda would like to inform WTO Members that the Draft East African Standard; DEAS 96-1: 2023, Sanitary towels — Specification — Part 1: Disposable, Fourth Edition; notified in G/TBT/N/BDI/343, G/TBT/N/KEN/1411, G/TBT/N/RWA/850, G/TBT/N/TZA/933 and G/TBT/N/UGA/1759 was adopted by the East African Community Council of Ministers on 14 June 2024.</t>
  </si>
  <si>
    <t>Sanitary towels (pads) and tampons, napkins and napkin liners for babies, and similar articles, of any material (HS code(s): 9619); Textile fabrics (ICS code(s): 59.080.30)</t>
  </si>
  <si>
    <t>9619 - Sanitary towels (pads) and tampons, napkins and napkin liners for babies, and similar articles, of any material; 9619 - Sanitary towels (pads) and tampons, napkins and napkin liners for babies, and similar articles, of any material</t>
  </si>
  <si>
    <t>59.080.30 - Textile fabrics; 59.080.30 - Textile fabrics</t>
  </si>
  <si>
    <t>Consumer information, labelling (TBT); Consumer information, labelling (TBT); Prevention of deceptive practices and consumer protection (TBT); Prevention of deceptive practices and consumer protection (TBT); Protection of human health or safety (TBT); Protection of human health or safety (TBT); Quality requirements (TBT); Quality requirements (TBT); Harmonization (TBT); Harmonization (TBT)</t>
  </si>
  <si>
    <t>DEAS 337: 2023, Henna powder — Specification, Third Edition</t>
  </si>
  <si>
    <t>Burundi, Kenya, Rwanda, Tanzania and Uganda would like to inform WTO Members that the Draft East African Standard; DEAS 337: 2023, Henna powder — Specification, Third Edition; notified in G/TBT/N/BDI/367, G/TBT/N/KEN/1447, G/TBT/N/RWA/878, G/TBT/N/TZA/981 and G/TBT/N/UGA/1784 was adopted by the East African Community Council of Ministers on 14 June 2024.</t>
  </si>
  <si>
    <t>Beauty or make-up preparations and preparations for the care of the skin (other than medicaments), incl. sunscreen or suntan preparations (excl. medicaments, lip and eye make-up preparations, manicure or pedicure preparations and make-up or skin care powders, incl. baby powders) (HS code(s): 330499); Cosmetics. Toiletries (ICS code(s): 71.100.70); Henna powder</t>
  </si>
  <si>
    <t>330499 - Beauty or make-up preparations and preparations for the care of the skin (other than medicaments), incl. sunscreen or suntan preparations (excl. medicaments, lip and eye make-up preparations, manicure or pedicure preparations and make-up or skin care powders, incl. baby powders); 330499 - Beauty or make-up preparations and preparations for the care of the skin (other than medicaments), incl. sunscreen or suntan preparations (excl. medicaments, lip and eye make-up preparations, manicure or pedicure preparations and make-up or skin care powders, incl. baby powders)</t>
  </si>
  <si>
    <t>DEAS 1152: 2023, Rubber teat (nipple) for baby feeding bottle — Specification , First Edition</t>
  </si>
  <si>
    <t>Burundi, Kenya, Rwanda, Tanzania and Uganda would like to inform WTO Members that the Draft East African Standard; DEAS 1152: 2023, Rubber teat (nipple) for baby feeding bottle — Specification , First Edition; notified in G/TBT/N/BDI/363, G/TBT/N/KEN/1443, G/TBT/N/RWA/874, G/TBT/N/TZA/977 and G/TBT/N/UGA/1780 was adopted by the East African Community Council of Ministers on 14 June 2024.</t>
  </si>
  <si>
    <t>Hygienic or pharmaceutical articles, incl. teats, of vulcanised rubber (excl. hard rubber), with or without fittings of hard rubber, n.e.s. (excl. sheath contraceptives and articles of apparel and clothing accessories, incl. gloves, for all purposes) (HS code(s): 401490); Other rubber and plastics products (ICS code(s): 83.140.99); Rubber teat; nipple; baby feeding bottle</t>
  </si>
  <si>
    <t>401490 - Hygienic or pharmaceutical articles, incl. teats, of vulcanised rubber (excl. hard rubber), with or without fittings of hard rubber, n.e.s. (excl. sheath contraceptives and articles of apparel and clothing accessories, incl. gloves, for all purposes); 401490 - Hygienic or pharmaceutical articles, incl. teats, of vulcanised rubber (excl. hard rubber), with or without fittings of hard rubber, n.e.s. (excl. sheath contraceptives and articles of apparel and clothing accessories, incl. gloves, for all purposes)</t>
  </si>
  <si>
    <t xml:space="preserve">DEAS 1120-1: 2022, Mosquito repellent — Performance test guidelines — Part 1: Skin applied, First Edition_x000D_
</t>
  </si>
  <si>
    <t>Burundi, Kenya, Rwanda, Tanzania and Uganda would like to inform WTO Members that the Draft East African Standard; DEAS 1120-1: 2022, Mosquito repellent — Performance test guidelines — Part 1: Skin applied, First Edition; notified in G/TBT/N/BDI/304, G/TBT/N/KEN/1346, G/TBT/N/RWA/745, G/TBT/N/TZA/868 and G/TBT/N/UGA/1713 was adopted by the East African Community Council of Ministers on 14 June 2024.</t>
  </si>
  <si>
    <t>Prevention of deceptive practices and consumer protection (TBT); Prevention of deceptive practices and consumer protection (TBT); Quality requirements (TBT); Quality requirements (TBT)</t>
  </si>
  <si>
    <t>Consumer information, labelling (TBT); Consumer information, labelling (TBT); Prevention of deceptive practices and consumer protection (TBT); Prevention of deceptive practices and consumer protection (TBT); Protection of animal or plant life or health (TBT); Protection of animal or plant life or health (TBT); Quality requirements (TBT); Quality requirements (TBT); Harmonization (TBT); Harmonization (TBT); Reducing trade barriers and facilitating trade (TBT); Reducing trade barriers and facilitating trade (TBT)</t>
  </si>
  <si>
    <t>DEAS 55:2023, Compounded pig feed — Specification, Third Edition</t>
  </si>
  <si>
    <t>Burundi, Kenya, Rwanda, Tanzania and Uganda would like to inform WTO Members that the Draft East African Standard; DEAS 55:2023, Compounded pig feed — Specification, Third Edition; notified in G/TBT/N/BDI/338, G/TBT/N/KEN/1400, G/TBT/N/RWA/845, G/TBT/N/TZA/924 and G/TBT/N/UGA/1753 was adopted by the East African Community Council of Ministers on 14 June 2024.</t>
  </si>
  <si>
    <t>Animal health; Animal feed</t>
  </si>
  <si>
    <t>DEAS 841: 2023, Hair oils — Specification, Second Edition</t>
  </si>
  <si>
    <t>Burundi, Kenya, Rwanda, Tanzania and Uganda would like to inform WTO Members that the Draft East African Standard; DEAS 841: 2023, Hair oils — Specification, Second Edition; notified in G/TBT/N/BDI/368, G/TBT/N/KEN/1448, G/TBT/N/RWA/879, G/TBT/N/TZA/982 and G/TBT/N/UGA/1785 was adopted by the East African Community Council of Ministers on 14 June 2024.</t>
  </si>
  <si>
    <t>Preparations for use on the hair (excl. shampoos, preparations for permanent waving or straightening and hair lacquers) (HS code(s): 330590); Cosmetics. Toiletries (ICS code(s): 71.100.70); Hair oils</t>
  </si>
  <si>
    <t>330590 - Preparations for use on the hair (excl. shampoos, preparations for permanent waving or straightening and hair lacquers); 330590 - Preparations for use on the hair (excl. shampoos, preparations for permanent waving or straightening and hair lacquers)</t>
  </si>
  <si>
    <t>Consumer information, labelling (TBT); Prevention of deceptive practices and consumer protection (TBT); Harmonization (TBT)</t>
  </si>
  <si>
    <t>DEAS 1129:2023, Natural cinnamon extract — Specification, First Edition</t>
  </si>
  <si>
    <t>Burundi, Kenya, Rwanda, Tanzania and Uganda would like to inform WTO Members that the Draft East African Standard; DEAS 1129: 2023, Natural cinnamon extract — Specification, First Edition; notified in G/TBT/N/BDI/332, G/TBT/N/KEN/1394, G/TBT/N/RWA/839, G/TBT/N/TZA/918 and G/TBT/N/UGA/1747 was adopted by the East African Community Council of Ministers on 14 June 2024.</t>
  </si>
  <si>
    <t>DEAS 868: 2023, Natural and extensible sack kraft paper — Specification, Second Edition</t>
  </si>
  <si>
    <t>Burundi, Kenya, Rwanda, Tanzania and Uganda would like to inform WTO Members that the Draft East African Standard; DEAS 868: 2023, Natural and extensible sack kraft paper — Specification, Second Edition; notified in G/TBT/N/BDI/342 ,G/TBT/N/KEN/1405, G/TBT/N/RWA/849, G/TBT/N/TZA/928 and G/TBT/N/UGA/1757 was adopted by the East African Community Council of Ministers on 14 June 2024.</t>
  </si>
  <si>
    <t>Kraft paper, creped or crinkled, whether or not embossed or perforated, in rolls of a width &gt; 36 cm or in square or rectangular sheets with one side &gt; 36 cm and the other side &gt; 15 cm in the unfolded state (HS code(s): 480840); Paper products in general (ICS code(s): 85.080.01)</t>
  </si>
  <si>
    <t>480840 - Kraft paper, creped or crinkled, whether or not embossed or perforated, in rolls of a width &gt; 36 cm or in square or rectangular sheets with one side &gt; 36 cm and the other side &gt; 15 cm in the unfolded state; 480840 - Kraft paper, creped or crinkled, whether or not embossed or perforated, in rolls of a width &gt; 36 cm or in square or rectangular sheets with one side &gt; 36 cm and the other side &gt; 15 cm in the unfolded state</t>
  </si>
  <si>
    <t>DEAS 1140: 2023, Acrylic yarn — Specification, First Edition</t>
  </si>
  <si>
    <t>Burundi, Kenya, Rwanda, Tanzania and Uganda would like to inform WTO Members that the Draft East African Standard; DEAS 1140: 2023, Acrylic yarn — Specification, First Edition; notified in G/TBT/N/BDI/345, G/TBT/N/KEN/1413, G/TBT/N/RWA/852, G/TBT/N/TZA/935 and G/TBT/N/UGA/1761 was adopted by the East African Community Council of Ministers on 14 June 2024.</t>
  </si>
  <si>
    <t>Multiple "folded" or cabled yarn containing &gt;= 85% acrylic or modacrylic staple fibres by weight (excl. sewing thread and yarn put up for retail sale) (HS code(s): 550932); Textiles in general (ICS code(s): 59.080.01)</t>
  </si>
  <si>
    <t>550932 - Multiple "folded" or cabled yarn containing &gt;= 85% acrylic or modacrylic staple fibres by weight (excl. sewing thread and yarn put up for retail sale); 550932 - Multiple "folded" or cabled yarn containing &gt;= 85% acrylic or modacrylic staple fibres by weight (excl. sewing thread and yarn put up for retail sale)</t>
  </si>
  <si>
    <t>Establece exigencias sanitarias para la internación de visceras y subproductos comestibles de bovinos, ovinos, caprinos, porcinos, aves y equinos, y deroga Resolución No 431, de 1998 y sus modificaciones</t>
  </si>
  <si>
    <t>Se establecen exigencias sanitarias específicas para la internación a Chile de vísceras y subproductos comestibles de bovinos, ovinos, caprinos, porcinos aves y equinos. Asimismo, se derogan las Resoluciones exentas No 431 de 1998, que fija exigencias sanitarias para la internación de vísceras, y No 700/2001, que modifica la anterior.Para mayor detalle revisar el documento adjunto a esta notificación.</t>
  </si>
  <si>
    <t>Vísceras y subproductos comestibles de bovinos, ovinos, caprinos, porcinos, aves y equinos</t>
  </si>
  <si>
    <t>0206 - Edible offal of bovine animals, swine, sheep, goats, horses, asses, mules or hinnies, fresh, chilled or frozen; 0207 - Meat and edible offal of fowls of the species Gallus domesticus, ducks, geese, turkeys and guinea fowls, fresh, chilled or frozen</t>
  </si>
  <si>
    <d:r xmlns:d="http://schemas.openxmlformats.org/spreadsheetml/2006/main">
      <d:rPr>
        <d:sz val="11"/>
        <d:rFont val="Calibri"/>
      </d:rPr>
      <d:t xml:space="preserve">https://members.wto.org/crnattachments/2024/SPS/CHL/24_04295_00_s.pdf</d:t>
    </d:r>
  </si>
  <si>
    <t>DUS 2414:2024 Standard test method by boiling point of engine coolants, Second Edition.</t>
  </si>
  <si>
    <t>This Draft Uganda Standard covers the determination of the equilibrium boiling point of engine coolants. The equilibrium boiling point indicates the temperature at which the sample will start to boil in a cooling system under equilibrium conditions at atmospheric pressure.</t>
  </si>
  <si>
    <d:r xmlns:d="http://schemas.openxmlformats.org/spreadsheetml/2006/main">
      <d:rPr>
        <d:sz val="11"/>
        <d:rFont val="Calibri"/>
      </d:rPr>
      <d:t xml:space="preserve">Texts available from: National enquiry point [ ] or address
 telephone and fax numbers and email and website addresses
 if available
 of other body: 
Uganda National Bureau of Standards
Plot 2-12 ByPass Link
 Bweyogerere Industrial and Business Park
P.O. Box 6329
Kampala
 Uganda
Tel: +(256) 4 1733 3250/1/2
Fax: +(256) 4 1428 6123
E-mail: info@unbs.go.ug
Website: https://www.unbs.go.ug
</d:t>
    </d:r>
  </si>
  <si>
    <t>Wheat (Triticum aestivum</t>
  </si>
  <si>
    <t>This addendum concerns the notification of the Ministerial Decree No. 133/2024 (2 pages, in Arabic) which stipulates raising the moisture content of imported wheat to reach 14% by weight (as maximum) for one year starting from the date of entry into force of the Decree.It should be noted that the Egyptian Standard ES 1601-1/2010: Essential requirements for wheat (Triticum aestivum) was formerly notified in G/SPS/N/EGY/39 dated 2 July 2010.Producers and importers are kept informed of any amendments in the Egyptian Standard through the publication of administrative orders in the official gazette.Proposed date of adoption: 21 April 2024Proposed date of entry into force: 23 May 2024</t>
  </si>
  <si>
    <t>Wheat</t>
  </si>
  <si>
    <t>1001 - Wheat and meslin; 1001 - Wheat and meslin</t>
  </si>
  <si>
    <t>ORDINANCE SDA/MAPA No 1.128, of 21 June 2024</t>
  </si>
  <si>
    <t>Revokes SDA/MAPA Ordinance No 1.057, of 20 March 2024.The SDA/MAPA ORDINANCE No. 907, of 24 October 2023, which establishes phytosanitary requirements for the import of petunia (Petunia spp.) propagative material of any origin, remains in force, as notified in G/SPS/N/BRA/2032/Add.2.</t>
  </si>
  <si>
    <t>Petunia propagative material (Petunia spp.)</t>
  </si>
  <si>
    <t>Plant health; Territory protection; Modification of content/scope of regulation; Plant health; Territory protection</t>
  </si>
  <si>
    <d:r xmlns:d="http://schemas.openxmlformats.org/spreadsheetml/2006/main">
      <d:rPr>
        <d:sz val="11"/>
        <d:rFont val="Calibri"/>
      </d:rPr>
      <d:t xml:space="preserve">https://members.wto.org/crnattachments/2024/SPS/BRA/24_04140_00_x.pdf
https://www.in.gov.br/en/web/dou/-/portaria-sda/mapa-n-1.128-de-21-de-junho-de-2024-567712695</d:t>
    </d:r>
  </si>
  <si>
    <t>Proposed GB MRLs for methidathion amending the GB MRL Statutory Register</t>
  </si>
  <si>
    <t>The notified document outlines the proposed MRLs for methidathion following a review  in Great Britain (GB) by the Health and Safety Executive. The draft Reasoned Opinion, produced by the Health and Safety Executive, on the review of the MRLs is available at the following link: The review of the existing MRLs for methidathion - proposed MRLs (hse.gov.uk)The MRLs for methidathion are being lowered to the limit of quantification as risks of a harmful effect on human health cannot be excluded and therefore the appropriate level of protection has not been met. The Codex MRLs for methidathion were revoked in December 2023 following the scientific assessment by the JMPR (Joint Meeting of the FAO and WHO on pesticide residues).  This proposal aligns GB MRLs with the Codex  standards. The JMPR scientific assessment and report of the Codex Committee on Pesticide Residue (CCPR) and Codex Alimentarius Commision (CAC) are available using the links below:  JMPR Report 2022Report of the 54th Session of the CCPR (The revocations of the CXLs for methidathion are outlined in point 87 and in Appendix III);Report of the CAC 46 - December 2023</t>
  </si>
  <si>
    <t>All GB commodity codes as outlined in Part 1 of the GB pesticides Maximum Residue Level Statutory Register – see link</t>
  </si>
  <si>
    <d:r xmlns:d="http://schemas.openxmlformats.org/spreadsheetml/2006/main">
      <d:rPr>
        <d:sz val="11"/>
        <d:rFont val="Calibri"/>
      </d:rPr>
      <d:t xml:space="preserve">https://members.wto.org/crnattachments/2024/SPS/GBR/24_04132_00_e.pdf</d:t>
    </d:r>
  </si>
  <si>
    <t>Prevention of deceptive practices and consumer protection (TBT); Protection of human health or safety (TBT); Protection of the environment (TBT); Quality requirements (TBT); Harmonization (TBT)</t>
  </si>
  <si>
    <t>General Standard for fruit juices, nectars and drink</t>
  </si>
  <si>
    <t>This draft technical regulation applies to fruit juices and nectars, fresh fruit juice (unpasteurized), fruit drink, dairy fruit drink (smoothie) and concentrated fruit syrup (squash or cordial).</t>
  </si>
  <si>
    <d:r xmlns:d="http://schemas.openxmlformats.org/spreadsheetml/2006/main">
      <d:rPr>
        <d:sz val="11"/>
        <d:rFont val="Calibri"/>
      </d:rPr>
      <d:t xml:space="preserve">https://members.wto.org/crnattachments/2024/TBT/SAU/24_04111_00_e.pdf
https://members.wto.org/crnattachments/2024/TBT/SAU/24_04111_00_x.pdf</d:t>
    </d:r>
  </si>
  <si>
    <t>Burundi, Kenya, Rwanda, Tanzania and Uganda would like to inform WTO Members that the Draft East African Standard; DEAS 974:2023, Compounded dairy goat feed — Specification, Second Edition; notified in G/TBT/N/BDI/336, G/TBT/N/KEN/1398, G/TBT/N/RWA/843, G/TBT/N/TZA/922 and G/TBT/N/UGA/1751 was adopted by the East African Community Council of Ministers on 14 June 2024.</t>
  </si>
  <si>
    <t>Law on Food Safety</t>
  </si>
  <si>
    <t>The Law on Food Safety promulgated on 8 June 2022 comprises 43 articles and 35 definitions, divided into 11 chapters. It aims to regulate frameworks and mechanisms for managing and ensuring safety, quality, hygiene and compliance of food in all stages of the food production chain in order to provide protection of health and safe food for consumers and ensuring fair practices in food trade.According to Article 5 of the Law on Food Safety, ministries or institutions involved in food safety and quality have authority to prepare technical regulations where applicable based on national or international food standards, codes of practices and guidelines.The Law on Food Safety gives mandate to the following ministries as competent institutions to govern food safety control throughout the food chain. These include Ministry of Commerce, Ministry of Agriculture, Forestry and Fisheries, Ministry of Industry, Science, Technology and Innovation, Ministry of Health, Ministry of Tourism and Ministry of Economy and Finance.The food safety measures (requirements) as defined in Article 6, shall be based on key principles including food shall be safe, of good quality, hygienic and suitable for human consumption and food control shall be based on food safety measures or technical regulations as defined in Article 7.Food business operators, at every stage of the food chain, have the primary role and responsibility for ensuring the safety of their food products and shall collaborate with relevant competent authorities for implementation of food safety measures to avoid or mitigate risks posed by products (Article 11).According to this Law (Articles 13-15) the food business operators have been grouped into three categories based on the nature of their business for example big, medium or small enterprise.The punishment is applied to food business operators, who fail to implements provisions as stipulated by this law (Articles 33-40).</t>
  </si>
  <si>
    <t>Food and drinks</t>
  </si>
  <si>
    <d:r xmlns:d="http://schemas.openxmlformats.org/spreadsheetml/2006/main">
      <d:rPr>
        <d:sz val="11"/>
        <d:rFont val="Calibri"/>
      </d:rPr>
      <d:t xml:space="preserve">https://www.ccfdg.gov.kh/laws-regulations/laws/ (Khmer version)
https://www.ccfdg.gov.kh/en/pdf-view/?filename=https://www.ccfdg.gov.kh/wp-content/uploads/2024/06/Law-on-Food-Safety-English_08-06-22-.pdf (English version)</d:t>
    </d:r>
  </si>
  <si>
    <t>Expanded Federal Use of the Non-Federal FSS and MSS Bands</t>
  </si>
  <si>
    <t xml:space="preserve">Proposed rule - In this document, the Office of Engineering and Technology 
opens a new docket and seeks comment on ways to potentially expand 
Federal access to non-Federal, including commercial, satellite 
services.&gt;</t>
  </si>
  <si>
    <t>Commercial satellite networks that are not currently allocated for the Federal fixed satellite service (FSS) and mobile satellite service (MSS);  Radiocommunications (ICS code(s): 33.060); Mobile services (ICS code(s): 33.070); Space systems and operations (ICS code(s): 49.140)</t>
  </si>
  <si>
    <t>33.060 - Radiocommunications; 33.070 - Mobile services; 49.140 - Space systems and operations</t>
  </si>
  <si>
    <d:r xmlns:d="http://schemas.openxmlformats.org/spreadsheetml/2006/main">
      <d:rPr>
        <d:sz val="11"/>
        <d:rFont val="Calibri"/>
      </d:rPr>
      <d:t xml:space="preserve">https://members.wto.org/crnattachments/2024/TBT/USA/24_04145_00_e.pdf
https://members.wto.org/crnattachments/2024/TBT/USA/24_04145_01_e.pdf</d:t>
    </d:r>
  </si>
  <si>
    <t>Consumer information, labelling (TBT); Consumer information, labelling (TBT); Prevention of deceptive practices and consumer protection (TBT); Prevention of deceptive practices and consumer protection (TBT); Protection of animal or plant life or health (TBT); Protection of animal or plant life or health (TBT); Quality requirements (TBT); Quality requirements (TBT); Harmonization (TBT); Harmonization (TBT); Reducing trade barriers and facilitating trade (TBT); Reducing trade barriers and facilitating trade (TBT); Cost saving and productivity enhancement (TBT); Cost saving and productivity enhancement (TBT)</t>
  </si>
  <si>
    <t>Resolution 591, 21 December 2021 - previously notified through G/TBT/N/BRA/1297 - which contains provisions on the identification of regularized medical devices at Anvisa, through the Unique Device Identification (UDI) system, was changed by Resolution 886, 26 June 2024 The final text is available only in Portuguese and can be downloaded at: https://antigo.anvisa.gov.br/documents/10181/6292482/RDC_886_2024_.pdf/1ace4521-50f9-4f7c-9950-8e93eb9745a9</t>
  </si>
  <si>
    <t>3006 - Pharmaceutical preparations and products of subheadings 3006.10.10 to 3006.60.90; 3006 - Pharmaceutical preparations and products of subheadings 3006.10.10 to 3006.60.90</t>
  </si>
  <si>
    <d:r xmlns:d="http://schemas.openxmlformats.org/spreadsheetml/2006/main">
      <d:rPr>
        <d:sz val="11"/>
        <d:rFont val="Calibri"/>
      </d:rPr>
      <d:t xml:space="preserve">https://members.wto.org/crnattachments/2024/TBT/BRA/modification/24_04144_00_x.pdf</d:t>
    </d:r>
  </si>
  <si>
    <t>Draft resolution (Consulta Publica) number 457, December 28th 2017</t>
  </si>
  <si>
    <t>Normative instruction 28, 26 July 2018 - previously notified through G/TBT/N/BRA/781/Add.1 - which proposes essential requirements to prevent risks posed to health and safety of consumers, was changed by Normative Instruction 304, 26 June 2024. The final text is available only in Portuguese and can be downloaded at: https://antigo.anvisa.gov.br/documents/10181/6777786/IN_304_2024_.pdf/bd5e6f95-396a-4570-8194-befbfe0be834</t>
  </si>
  <si>
    <t>Food supplements and labelling.</t>
  </si>
  <si>
    <t>Nutrition information; Labelling; Food standards; Nutrition information; Labelling; Food standards</t>
  </si>
  <si>
    <d:r xmlns:d="http://schemas.openxmlformats.org/spreadsheetml/2006/main">
      <d:rPr>
        <d:sz val="11"/>
        <d:rFont val="Calibri"/>
      </d:rPr>
      <d:t xml:space="preserve">https://members.wto.org/crnattachments/2024/TBT/BRA/modification/24_04143_00_x.pdf</d:t>
    </d:r>
  </si>
  <si>
    <t>DEAS 973-1:2023, Compounded fish feed — Specification – Part 1: Tilapia and catfish feeds, First Edition</t>
  </si>
  <si>
    <t>Burundi, Kenya, Rwanda, Tanzania and Uganda would like to inform WTO Members that the Draft East African Standard; DEAS 973-1:2023, Compounded fish feed — Specification – Part 1: Tilapia and catfish feeds, First Edition; notified in G/TBT/N/BDI/335, G/TBT/N/KEN/1397, G/TBT/N/RWA/842, G/TBT/N/TZA/921 and G/TBT/N/UGA/1750 was adopted by the East African Community Council of Ministers on 14 June 2024.</t>
  </si>
  <si>
    <t>Proyecto de Resolución para regular la importación de esquejes enraizados y plantas con raíz para propagación de Uva (Vitis vinifera) originarias de Ecuador</t>
  </si>
  <si>
    <t>Establece las medidas fitosanitarias para la importación de esquejes enraizados y plantas con raíz para propagación de uva (Vitis vinifera) originarias de Ecuador.</t>
  </si>
  <si>
    <d:r xmlns:d="http://schemas.openxmlformats.org/spreadsheetml/2006/main">
      <d:rPr>
        <d:sz val="11"/>
        <d:rFont val="Calibri"/>
      </d:rPr>
      <d:t xml:space="preserve">https://members.wto.org/crnattachments/2024/SPS/CRI/24_04257_00_s.pdf</d:t>
    </d:r>
  </si>
  <si>
    <t>Draft Resolution 1246, 21 March 2024</t>
  </si>
  <si>
    <t>Draft Resolution 1246, 21 March 2024 - previously notified through  G/SPS/N/BRA/2294 - was adopted as Normative Instruction 305, 28 June 2024. The regulation proposes the inclusion of following active ingredients on the Monograph List of Active  Ingredients for Pesticides, Household Cleaning Products and Wood Preservatives, which was published by Normative Instruction 103 on 19 October 2021 in the Brazilian Official Gazette (DOU - Diário Oficial da União): A29 - Acetamiprid, A41 - Amicarbazone,  26 - Bifenthrin, C29 - Chlorimuron ethyl, C36 - Cyproconazole, C89 - Cinmethylline, D06 - Deltamethrin, D21 - Diquat, D41 - Iafentiuron, E26 - Spiromesifen, F26 - Fomesafem, F28 - Fenpropathrin, F46 - Flumioxazine, F48 - Flazasulfurom, F69 - Flupyradifurone,  F71 - Benzyl florpyraxifen, F72 - Fluopyram, G05 - Ammonium glufosinate, I18 - Isoxaflutole, I34 - Isopyrazam, M17 Methomyl, T30 - Thiodicarb, T32 - Tebuconazole, and T54 - Trifloxystrobin. The final text is available only in Portuguese and can be downloaded at: </t>
  </si>
  <si>
    <d:r xmlns:d="http://schemas.openxmlformats.org/spreadsheetml/2006/main">
      <d:rPr>
        <d:sz val="11"/>
        <d:rFont val="Calibri"/>
      </d:rPr>
      <d:t xml:space="preserve">https://members.wto.org/crnattachments/2024/SPS/BRA/24_04141_00_x.pdf
https://antigo.anvisa.gov.br/documents/10181/6736813/IN_305_2024_.pdf/b3308aa3-1799-4871-931e-490b212c0fc9</d:t>
    </d:r>
  </si>
  <si>
    <t>Draft Commission Regulation amending Annexes II to Regulation (EC) No 396/2005 of the European Parliament and of the Council as regards maximum residue levels for fenbuconazole and penconazole in or on certain products (Text with EEA relevance)</t>
  </si>
  <si>
    <t>The proposed draft Regulation concerns the review of existing MRLs for fenbuconazole and penconazole in certain food commodities. MRLs for these substances in certain commodities are lowered. Lower MRLs are set after deleting old uses which are not authorized any more in the European Union.</t>
  </si>
  <si>
    <t>Meat and edible meat offal (HS code(s): 02); Cereals (HS code(s): 10)</t>
  </si>
  <si>
    <t>10 - CEREALS; 02 - MEAT AND EDIBLE MEAT OFFAL</t>
  </si>
  <si>
    <d:r xmlns:d="http://schemas.openxmlformats.org/spreadsheetml/2006/main">
      <d:rPr>
        <d:sz val="11"/>
        <d:rFont val="Calibri"/>
      </d:rPr>
      <d:t xml:space="preserve">https://members.wto.org/crnattachments/2024/SPS/EEC/24_04133_02_e.pdf
https://members.wto.org/crnattachments/2024/SPS/EEC/24_04133_03_e.pdf
https://members.wto.org/crnattachments/2024/SPS/EEC/24_04133_01_e.pdf
https://members.wto.org/crnattachments/2024/SPS/EEC/24_04133_00_e.pdf</d:t>
    </d:r>
  </si>
  <si>
    <t>Burundi, Kenya, Rwanda, Tanzania and Uganda would like to inform WTO Members that the Draft East African Standard; DEAS 75: 2023, Compounded cattle feeds — Specification, Third Edition; notified in G/TBT/N/BDI/334, G/TBT/N/KEN/1396, G/TBT/N/RWA/841, G/TBT/N/TZA/920 and G/TBT/N/UGA/1749 was adopted by the East African Community Council of Ministers on 14 June 2024.</t>
  </si>
  <si>
    <t>Proyecto de Primera Revisión del Reglamento Técnico Ecuatoriano PRTE 270 (1R) "Guantes de Protección"</t>
  </si>
  <si>
    <t xml:space="preserve">El presente reglamento técnico ecuatoriano aplica a los siguientes productos sean estos nacionales o importados que se comercialicen en el Ecuador:_x000D_
Guantes de protecciónGuantea se protección contra radiaciones ionizantes y contaminación radioactiva.Guantes de protección para soldadores.Guantes de protección contra los productos químicos y los microrganismos.Guantes de protección contra riesgos mecánicos.Manguitos de material aislante para trabajos en tensión.Guantes de protección contra sierras de cadena.Guantes de protección contra el frio.Guantes y protectores de los brazos contra los cortes y pinchazos producidos por cuchillos de mano.Guantes de protección contra riesgos térmicos.</t>
  </si>
  <si>
    <t>Artículos de plástico y manufacturas de las demás materias de las partidas 3901 a 3914, ncop (exc. productos de 9619) (Código(s) del SA: 392690); Guantes, manoplas y manoplas, de caucho vulcanizado (exc. ??de los tipos utilizados para uso médico, quirúrgico, odontológico o veterinario) (Código(s) del SA: 401519); Prendas de vestir y demás complementos "accesorios" de vestir, para cualquier uso, de caucho vulcanizado sin endurecer (exc. calzado, artículos de sombrerería y sus partes, así como los guantes, mitones y manoplas) (Código(s) del SA: 401590); Prendas de vestir, de cuero natural o cuero regenerado (exc. complementos "accesorios" de vestir, calzado y artículos de sombrerería, así como espinilleras, máscaras de esgrima y demás artículos del capítulo 95) (Código(s) del SA: 420310); Guantes, mitones y manoplas, de cuero natural cuero regenerado (exc. concebidos especialmente para la práctica del deporte) (Código(s) del SA: 420329); Complementos "accesorios" de vestir, de cuero natural cuero regenerado (exc. guantes, mitones y manoplas, cintos, cinturones y bandoleras, calzado y artículos de sombrerería y sus partes, así como espinilleras, máscaras de esgrima y demás artículos del capítulo 95) (Código(s) del SA: 420340)</t>
  </si>
  <si>
    <t>392690 - Articles of plastics and articles of other materials of heading 3901 to 3914, n.e.s (excl. goods of 9619); 401519 - Gloves, mittens and mitts, of vulcanised rubber (excl. of a kind used for medical, surgical, dental or veterinary purposes); 401590 - Articles of apparel and clothing accessories, for all purposes, of vulcanised rubber (excl. hard rubber and footwear and headgear and parts thereof, and gloves, mittens and mitts); 420310 - Articles of apparel, of leather or composition leather (excl. clothing accessories, footware and headgear and parts thereof, and goods of chapter 95, e.g. shin guards, fencing masks); 420329 - Gloves, mittens and mitts, of leather or composition leather (excl. special sports gloves); 420340 - Clothing accessories of leather or composition leather (excl. gloves, mittens and mitts, belts, bandoliers, footware and headgear and parts thereof, and goods of chapter 95 [e.g. shin guards, fencing masks])</t>
  </si>
  <si>
    <t>13.340.40 - Hand and arm protection</t>
  </si>
  <si>
    <d:r xmlns:d="http://schemas.openxmlformats.org/spreadsheetml/2006/main">
      <d:rPr>
        <d:sz val="11"/>
        <d:rFont val="Calibri"/>
      </d:rPr>
      <d:t xml:space="preserve">https://members.wto.org/crnattachments/2024/TBT/ECU/24_04134_00_s.pdf</d:t>
    </d:r>
  </si>
  <si>
    <t>Draft Decree stipulating the management mechanism, methods, order and procedures for state inspection of quality and state inspection of food safety for imported goods</t>
  </si>
  <si>
    <t>This addendum concerns the withdrawal of the previously notified draft regulation.</t>
  </si>
  <si>
    <t>Products and goods in general</t>
  </si>
  <si>
    <t>Withdrawal of the measure; Food safety; Human health; Human health; Food safety</t>
  </si>
  <si>
    <t>Boverkets mandatory provisions regarding sites etc. </t>
  </si>
  <si>
    <t>Provisions regarding sites and some constructions works other than buildings.The purpose of the provisions regarding sites and construction works is to specify requirements in ch. 8. Section 9 of the Planning and Building Act (2010:900), PBL, for sites to be built on in terms of accessibility and usability for people with reduced mobility and orientation, accessibility for emergency vehicles and protection against accidents. The proposed regulations also specify requirements in ch. 3. Section 10 of the Planning and Building Ordinance (2011:338), PBF, on safety when used for the construction of certain constructions works other than buildings on sites and the requirements for planning, execution and control in ch. 10. § 5 PBL with regard to these construction works.</t>
  </si>
  <si>
    <t>Constructions works</t>
  </si>
  <si>
    <t>91.010 - Construction industry</t>
  </si>
  <si>
    <d:r xmlns:d="http://schemas.openxmlformats.org/spreadsheetml/2006/main">
      <d:rPr>
        <d:sz val="11"/>
        <d:rFont val="Calibri"/>
      </d:rPr>
      <d:t xml:space="preserve">https://members.wto.org/crnattachments/2024/TBT/SWE/24_04110_00_x.pdf
https://members.wto.org/crnattachments/2024/TBT/SWE/24_04110_01_x.pdf
https://technical-regulation-information-system.ec.europa.eu/sv/notification/26009 (All texts available at this link)</d:t>
    </d:r>
  </si>
  <si>
    <t>Medical Devices; Laboratory Developed Tests</t>
  </si>
  <si>
    <t xml:space="preserve">The Food and Drug Administration (FDA or Agency) is announcing the availability of a final guidance entitled "Laboratory Developed Tests: Small Entity Compliance Guide.'' The laboratory developed tests (LDT) final rule (notified as G/TBT/N/USA/2054/Add.1) amended FDA's regulations to make explicit that in vitro diagnostic products (IVDs) are devices under the Federal Food, Drug, and Cosmetic Act (FD&amp;C Act) including when the manufacturer of the IVD is a laboratory. This small entity compliance guide (SECG) is intended to help small entities comply with applicable medical device regulations, consistent with the LDT final rule, including the phasing out of FDA's general enforcement discretion approach for LDTs so that IVDs manufactured by a laboratory will generally fall under the same enforcement approach as other IVDs.This guidance represents the current thinking of the Food and Drug Administration (FDA or Agency) on this topic. It does not establish any rights for any person and is not binding on FDA or the public. You can use an alternative approach if it satisfies the requirements of the applicable statutes and regulations. To discuss an alternative approach, contact the FDA office responsible for this guidance as listed on its title page: Center for Devices and Radiological Health, Center for Biologics Evaluation and Research.The announcement of the guidance is published in the Federal Register on 25 June 2024.89 Federal Register (FR) 53109, 25 June 2024:_x000D_
https://www.govinfo.gov/content/pkg/FR-2024-06-25/html/2024-13872.htm_x000D_
https://www.govinfo.gov/content/pkg/FR-2024-06-25/pdf/2024-13872.pdfThis notice of availability and previous actions notified under the symbol G/TBT/N/USA/2054 are identified by Docket Number FDA-2023-N-2177. The Docket Folder is available on Regulations.gov at https://www.regulations.gov/docket/FDA-2023-N-2177/document and provides access to primary documents as well as comments received. Documents are also accessible from Regulations.gov by searching the Docket Number.</t>
  </si>
  <si>
    <t>In vitro diagnostic products; Medical equipment (ICS code(s): 11.040); In vitro diagnostic test systems (ICS code(s): 11.100.10)</t>
  </si>
  <si>
    <t>11.040 - Medical equipment; 11.100.10 - In vitro diagnostic test systems; 11.040 - Medical equipment; 11.100.10 - In vitro diagnostic test systems</t>
  </si>
  <si>
    <d:r xmlns:d="http://schemas.openxmlformats.org/spreadsheetml/2006/main">
      <d:rPr>
        <d:sz val="11"/>
        <d:rFont val="Calibri"/>
      </d:rPr>
      <d:t xml:space="preserve">https://members.wto.org/crnattachments/2024/TBT/USA/24_04139_00_e.pdf
https://members.wto.org/crnattachments/2024/TBT/USA/24_04139_01_e.pdf</d:t>
    </d:r>
  </si>
  <si>
    <t>Section 8e Import Inspection Fee Structure</t>
  </si>
  <si>
    <t xml:space="preserve">Proposed rule - The Agricultural Marketing Service (AMS) of the Department of 
Agriculture (USDA) proposes to revise the regulations governing the 
inspection and certification for fresh fruits, vegetables, and other 
products by amending certain fees charged for Section 8e import 
inspections from a per-carlot basis to a per-pound basis, reducing the 
fee for each additional sublot by 50 percent, and establishing a new 
fee calculation for lots less than a carlot. These revisions are 
necessary to recover, as nearly as practicable, the costs of performing 
inspection services on imported commodities in accordance with the 
Agricultural Marketing Agreement Act of 1937.</t>
  </si>
  <si>
    <t>Fresh fruits, vegetables, and other products; Quality (ICS code(s): 03.120); Fruits. Vegetables (ICS code(s): 67.080)</t>
  </si>
  <si>
    <t>03.120 - Quality; 67.080 - Fruits. Vegetables</t>
  </si>
  <si>
    <t>Quality requirements (TBT); Cost saving and productivity enhancement (TBT)</t>
  </si>
  <si>
    <d:r xmlns:d="http://schemas.openxmlformats.org/spreadsheetml/2006/main">
      <d:rPr>
        <d:sz val="11"/>
        <d:rFont val="Calibri"/>
      </d:rPr>
      <d:t xml:space="preserve">https://members.wto.org/crnattachments/2024/TBT/USA/24_04146_00_e.pdf</d:t>
    </d:r>
  </si>
  <si>
    <t>DUS 2399:2024, Standard Test Methods for Water in Engine Coolant Concentrate by the Karl Fischer Reagent Method, Second Edition</t>
  </si>
  <si>
    <t>This Draft Uganda Standard covers the determination of the water present in new or unused glycol-based coolant concentrates using a volumetric (Test Method A) or an automatic coulometric titrator procedure (Test Method B). Many carbonyl compounds react slowly with the Fischer reagent, causing a fading end point and leading to high results. A modified Fischer reagent procedure is included that minimizes these undesirable and interfering reactions.</t>
  </si>
  <si>
    <t>MINERAL FUELS, MINERAL OILS AND PRODUCTS OF THEIR DISTILLATION; BITUMINOUS SUBSTANCES; MINERAL WAXES (HS code(s): 27); Petroleum and related technologies (ICS code(s): 75)</t>
  </si>
  <si>
    <t>27 - MINERAL FUELS, MINERAL OILS AND PRODUCTS OF THEIR DISTILLATION; BITUMINOUS SUBSTANCES; MINERAL WAXES</t>
  </si>
  <si>
    <t>75 - Petroleum and related technologies</t>
  </si>
  <si>
    <t>Regulation of The Indonesian Food and Drug Authority Number 7 of 2023 on Criteria and Procedures for Quasi Drugs Registration</t>
  </si>
  <si>
    <t>This regulation states that quasi-drugs produced, imported, and distributed in Indonesia must be registered with the Indonesian FDA.The requirement of quasi-drugs to be registered in Indonesia must fulfill the safety, efficacy, and quality aspects.</t>
  </si>
  <si>
    <t>Quasi Drugs</t>
  </si>
  <si>
    <d:r xmlns:d="http://schemas.openxmlformats.org/spreadsheetml/2006/main">
      <d:rPr>
        <d:sz val="11"/>
        <d:rFont val="Calibri"/>
      </d:rPr>
      <d:t xml:space="preserve">https://members.wto.org/crnattachments/2024/TBT/IDN/24_04105_00_x.pdf</d:t>
    </d:r>
  </si>
  <si>
    <t xml:space="preserve">Propuesta de Modificación del Decreto N°145 de 2017, del Ministerio de Transportes y Telecomunicaciones, Subsecretaría de Transportes (Draft amendment to Decree No. 145 of 2017 of the Ministry of Transport and Telecommunications, Under-Secretariat for Transport) •••See below table 001 Description: The Ministry of Transport and Telecommunications hereby gives notice of the publication of Decree No. 6 amending Supreme Decree No. 145. •••Table001 |  Reason for Addendum:   | |</t>
  </si>
  <si>
    <t xml:space="preserve">The Ministry of Transport and Telecommunications hereby gives notice of the publication of Decree No. 6 amending Supreme Decree No. 145. •••Table001 |  Reason for Addendum:   | |</t>
  </si>
  <si>
    <t>Electrically propelled vehicles</t>
  </si>
  <si>
    <d:r xmlns:d="http://schemas.openxmlformats.org/spreadsheetml/2006/main">
      <d:rPr>
        <d:sz val="11"/>
        <d:rFont val="Calibri"/>
      </d:rPr>
      <d:t xml:space="preserve">https://members.wto.org/crnattachments/2024/TBT/CHL/final_measure/24_04088_00_s.pdf
https://www.bcn.cl/leychile/navegar?idNorma=1204121;;;</d:t>
    </d:r>
  </si>
  <si>
    <t>Draft Ministerial Regulation Prescribing Industrial Products for Plastic Bags for Food to Conform to the Standard B.E. ....</t>
  </si>
  <si>
    <t>The draft Ministerial Regulation mandates plastic bags for food made from Polyethylene (PE) or Polypropylene (PP) to conform to the Thai Industrial Standard TIS 1027-25XX(20XX) Plastic Bags for Food.</t>
  </si>
  <si>
    <t>Plastic bags for food (ICS 55.080 ; 67.250 ; 83.140.99)</t>
  </si>
  <si>
    <t>55.040 - Packaging materials and accessories; 55.080 - Sacks. Bags; 83.080 - Plastics</t>
  </si>
  <si>
    <d:r xmlns:d="http://schemas.openxmlformats.org/spreadsheetml/2006/main">
      <d:rPr>
        <d:sz val="11"/>
        <d:rFont val="Calibri"/>
      </d:rPr>
      <d:t xml:space="preserve">https://members.wto.org/crnattachments/2024/TBT/THA/24_04102_00_x.pdf</d:t>
    </d:r>
  </si>
  <si>
    <t>Specifications and Standards for Foods, Food Additives, Etc. under the Food Sanitation Act (Revision of agricultural chemical residue standards, final rule)</t>
  </si>
  <si>
    <t>The proposed maximum residue limits (MRLs) for Fenamiphos notified in G/SPS/N/JPN/1216 (dated 7 August 2023) were adopted and published on 20 December 2023.The specified MRLs are available as below:</t>
  </si>
  <si>
    <t xml:space="preserve">・Meat and edible meat offal (HS codes: 02.01, 02.02, 02.03, 02.04, 02.05, 02.06, 02.07, 02.08 and 02.09)_x000D_
・Fish and crustaceans, molluscs and other aquatic invertebrates (HS codes: 03.02, 03.03, 03.04, 03.06, 03.07 and 03.08)_x000D_
・Dairy produce, birds' eggs and natural honey (HS codes: 04.01, 04.07, 04.08 and 04.09)_x000D_
・Animal originated products (HS code: 05.04)_x000D_
・Edible vegetables and certain roots and tubers (HS codes: 07.01, 07.02, 07.03, 07.04, 07.05, 07.06, 07.07, 07.08, 07.09, 07.10, 07.13 and 07.14)_x000D_
・Edible fruit and nuts, peel of citrus fruit (HS codes: 08.01, 08.02, 08.03, 08.04, 08.05, 08.06, 08.07, 08.08, 08.09, 08.10, 08.11 and 08.14)_x000D_
・Tea, mate and spices (HS codes: 09.02, 09.03, 09.04, 09.05, 09.06, 09.07, 09.08, 09.09 and 09.10)_x000D_
・Cereals (HS codes: 10.01, 10.02, 10.03, 10.04, 10.05, 10.06, 10.07 and 10.08)_x000D_
・Oil seeds and oleaginous fruits, miscellaneous grains, seeds and fruit (HS codes: 12.01, 12.02, 12.04, 12.05, 12.06, 12.07, 12.10 and 12.12)_x000D_
・Animal fats and oils (HS codes: 15.01, 15.02 and 15.06)</t>
  </si>
  <si>
    <t>0902 - Tea, whether or not flavoured; 0909 - Seeds of anis, badian, fennel, coriander, cumin or caraway; juniper berries; 0908 - Nutmeg, mace and cardamoms; 0907 - Cloves, whole fruit, cloves and stems; 0906 - Cinnamon and cinnamon-tree flowers; 0905 - Vanilla; 0904 - Pepper of the genus Piper; dried or crushed or ground fruits of the genus Capsicum or of the genus Pimenta;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0903 - Maté.;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0201 - Meat of bovine animals, fresh or chilled; 0208 - Meat and edible offal of rabbits, hares, pigeons and other animals, fresh, chilled or frozen (excl. of bovine animals, swine, sheep, goats, horses, asses, mules, hinnies, poultry "fowls of the species Gallus domesticus", ducks, geese, turkeys and guinea fowls); 1001 - Wheat and meslin; 1003 - Barley; 1501 - Pig fat, incl. lard, and poultry fat, rendered or otherwise extracted (excl. lard stearin and lard oil);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1210 - Hop cones, fresh or dried, whether or not ground, powdered or in the form of pellets; lupulin; 1207 - Other oil seeds and oleaginous fruits, whether or not broken (excl. edible nuts, olives, soya beans, groundnuts, copra, linseed, rape or colza seeds and sunflower seeds); 1206 - Sunflower seeds, whether or not broken.; 1205 - Rape or colza seeds, whether or not broken; 1002 - Rye; 1204 - Linseed, whether or not broken.; 1201 - Soya beans, whether or not broken; 1008 - Buckwheat, millet, canary seed and other cereals (excl. wheat and meslin, rye, barley, oats, maize, rice and grain sorghum); 1007 - Grain sorghum; 1006 - Rice; 1005 - Maize or corn; 1004 - Oats; 1202 - Groundnuts, whether or not shelled or broken (excl. roasted or otherwise cooked); 0209 - Pig fat, free of lean meat, and poultry fat, not rendered or otherwise extracted, fresh, chilled, frozen, salted, in brine, dried or smoked; 0302 - Fish, fresh or chilled (excl. fish fillets and other fish meat of heading 0304); 0303 - Frozen fish (excl. fish fillets and other fish meat of heading 0304); 0713 - Dried leguminous vegetables, shelled, whether or not skinned or split; 0714 - Roots and tubers of manioc, arrowroot, salep, Jerusalem artichokes, sweet potatoes and similar roots and tubers with high starch or inulin content, fresh, chilled, frozen or dried, whether or not sliced or in the form of pellets; sago pith; 0801 - Coconuts, Brazil nuts and cashew nuts, fresh or dried, whether or not shelled or peeled; 0802 - Other nuts, fresh or dried, whether or not shelled or peeled (excl. coconuts, Brazil nuts and cashew nuts); 0803 - Bananas, incl. plantains, fresh or dried; 0804 - Dates, figs, pineapples, avocados, guavas, mangoes and mangosteens, fresh or dried; 0710 - Vegetables, uncooked or cooked by steaming or boiling in water, frozen; 0805 - Citrus fruit, fresh or dried; 0807 - Melons, incl. watermelons, and papaws "papayas", fresh; 0808 - Apples, pears and quinces, fresh; 0809 - Apricots, cherries, peaches incl. nectarines, plums and sloes,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0814 - Peel of citrus fruit or melons (including watermelons), fresh, frozen, dried or provisionally preserved in brine, in sulphur water or in other preservative solutions.; 0806 - Grapes, fresh or dried;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0708 - Leguminous vegetables, shelled or unshelled, fresh or chilled; 0707 - Cucumbers and gherkins, fresh or chilled.; 0304 - Fish fillets and other fish meat, whether or not minced, fresh, chilled or frozen; 0306 - Crustaceans, whether in shell or not, live, fresh, chilled, frozen, dried, salted or in brine, even smoked, incl. crustaceans in shell cooked by steaming or by boiling in water; 0307 - Molluscs, fit for human consumption, even smoked, whether in shell or not, live, fresh, chilled, frozen, dried, salted or in brine; 0308 - Aquatic invertebrates other than crustaceans and molluscs, live, fresh, chilled, frozen, dried, salted or in brine, even smoked;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0409 - Natural honey.; 0504 - Guts, bladders and stomachs of animals (other than fish), whole and pieces thereof, fresh, chilled, frozen, salted, in brine, dried or smoked.; 0701 - Potatoes, fresh or chilled; 0702 - Tomatoes, fresh or chilled.; 0703 - Onions, shallots, garlic, leeks and other alliaceous vegetables, fresh or chilled; 0704 - Cabbages, cauliflowers, kohlrabi, kale and similar edible brassicas, fresh or chilled; 0705 - Lettuce "Lactuca sativa" and chicory "Cichorium spp.", fresh or chilled; 0706 - Carrots, turnips, salad beetroot, salsify, celeriac, radishes and similar edible roots, fresh or chilled; 1502 - Fats of bovine animals, sheep or goats (excl. oil and oleostearin); 1506 - Other animal fats and oils and their fractions, whether or not refined, but not chemically modified.;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0407 - Birds' eggs, in shell, fresh, preserved or cooked; 0207 - Meat and edible offal of fowls of the species Gallus domesticus, ducks, geese, turkeys and guinea fowls, fresh, chilled or frozen; 0909 - Seeds of anis, badian, fennel, coriander, cumin or caraway; juniper berries; 0908 - Nutmeg, mace and cardamoms; 0907 - Cloves, whole fruit, cloves and stems; 0906 - Cinnamon and cinnamon-tree flowers; 0905 - Vanilla; 0904 - Pepper of the genus Piper; dried or crushed or ground fruits of the genus Capsicum or of the genus Pimenta; 0201 - Meat of bovine animals, fresh or chilled;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0408 - Birds' eggs, not in shell, and egg yolks, fresh, dried, cooked by steaming or by boiling in water, moulded, frozen or otherwise preserved, whether or not containing added sugar or other sweetening matter; 0802 - Other nuts, fresh or dried, whether or not shelled or peeled (excl. coconuts, Brazil nuts and cashew nuts); 0504 - Guts, bladders and stomachs of animals (other than fish), whole and pieces thereof, fresh, chilled, frozen, salted, in brine, dried or smoked.; 0701 - Potatoes, fresh or chilled; 0702 - Tomatoes, fresh or chilled.; 0703 - Onions, shallots, garlic, leeks and other alliaceous vegetables, fresh or chilled; 0704 - Cabbages, cauliflowers, kohlrabi, kale and similar edible brassicas, fresh or chilled; 0705 - Lettuce "Lactuca sativa" and chicory "Cichorium spp.", fresh or chilled; 0409 - Natural honey.; 0706 - Carrots, turnips, salad beetroot, salsify, celeriac, radishes and similar edible roots, fresh or chilled; 0708 - Leguminous vegetables, shelled or unshelled,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0710 - Vegetables, uncooked or cooked by steaming or boiling in water, frozen; 0713 - Dried leguminous vegetables, shelled, whether or not skinned or split; 0714 - Roots and tubers of manioc, arrowroot, salep, Jerusalem artichokes, sweet potatoes and similar roots and tubers with high starch or inulin content, fresh, chilled, frozen or dried, whether or not sliced or in the form of pellets; sago pith; 0801 - Coconuts, Brazil nuts and cashew nuts, fresh or dried, whether or not shelled or peeled; 0707 - Cucumbers and gherkins, fresh or chilled.; 0903 - Maté.; 0814 - Peel of citrus fruit or melons (including watermelons), fresh, frozen, dried or provisionally preserved in brine, in sulphur water or in other preservative solutions.; 0811 - Fruit and nuts, uncooked or cooked by steaming or boiling in water, frozen, whether or not containing added sugar or other sweetening matter; 1006 - Rice; 1005 - Maize or corn; 1004 - Oats; 1202 - Groundnuts, whether or not shelled or broken (excl. roasted or otherwise cooked); 0805 - Citrus fruit, fresh or dried; 0804 - Dates, figs, pineapples, avocados, guavas, mangoes and mangosteens, fresh or dried; 1007 - Grain sorghum; 0803 - Bananas, incl. plantains, fresh or dried; 0307 - Molluscs, fit for human consumption, even smoked, whether in shell or not, live, fresh, chilled, frozen, dried, salted or in brine; 0306 - Crustaceans, whether in shell or not, live, fresh, chilled, frozen, dried, salted or in brine, even smoked, incl. crustaceans in shell cooked by steaming or by boiling in water; 0304 - Fish fillets and other fish meat, whether or not minced, fresh, chilled or frozen; 0303 - Frozen fish (excl. fish fillets and other fish meat of heading 0304); 0302 - Fish, fresh or chilled (excl. fish fillets and other fish meat of heading 0304); 0401 - Milk and cream, not concentrated nor containing added sugar or other sweetening matter; 0308 - Aquatic invertebrates other than crustaceans and molluscs, live, fresh, chilled, frozen, dried, salted or in brine, even smoked; 1008 - Buckwheat, millet, canary seed and other cereals (excl. wheat and meslin, rye, barley, oats, maize, rice and grain sorghum); 1201 - Soya beans, whether or not broken; 1204 - Linseed, whether or not broken.;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0809 - Apricots, cherries, peaches incl. nectarines, plums and sloes, fresh; 0808 - Apples, pears and quinces, fresh; 0807 - Melons, incl. watermelons, and papaws "papayas", fresh; 0902 - Tea, whether or not flavoured; 0806 - Grapes, fresh or dried; 1001 - Wheat and meslin; 1003 - Barley; 1501 - Pig fat, incl. lard, and poultry fat, rendered or otherwise extracted (excl. lard stearin and lard oil);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1210 - Hop cones, fresh or dried, whether or not ground, powdered or in the form of pellets; lupulin; 1207 - Other oil seeds and oleaginous fruits, whether or not broken (excl. edible nuts, olives, soya beans, groundnuts, copra, linseed, rape or colza seeds and sunflower seeds); 1206 - Sunflower seeds, whether or not broken.; 1205 - Rape or colza seeds, whether or not broken; 1002 - Rye; 1502 - Fats of bovine animals, sheep or goats (excl. oil and oleostearin); 1506 - Other animal fats and oils and their fractions, whether or not refined, but not chemically modified.</t>
  </si>
  <si>
    <d:r xmlns:d="http://schemas.openxmlformats.org/spreadsheetml/2006/main">
      <d:rPr>
        <d:sz val="11"/>
        <d:rFont val="Calibri"/>
      </d:rPr>
      <d:t xml:space="preserve">https://members.wto.org/crnattachments/2024/SPS/JPN/24_04121_00_e.pdf</d:t>
    </d:r>
  </si>
  <si>
    <t>The proposed maximum residue limits (MRLs) for Clostebol notified in G/SPS/N/JPN/1221 (dated 7 August 2023) were adopted and published on 20 December 2023.The specified MRLs are available as below:</t>
  </si>
  <si>
    <t xml:space="preserve">・Meat and edible meat offal (HS codes: 02.01, 02.02, 02.03, 02.04, 02.05, 02.06, 02.07, 02.08 and 02.09)_x000D_
・Fish and crustaceans, molluscs and other aquatic invertebrates (HS codes: 03.02, 03.03, 03.04, 03.06, 03.07 and 03.08)_x000D_
・Dairy produce, birds' eggs and natural honey  (HS codes: 04.01, 04.07, 04.08 and 04.09)_x000D_
・Animal originated products (HS code: 05.04)_x000D_
・Animal fats and oils (HS codes: 15.01, 15.02 and 15.06)</t>
  </si>
  <si>
    <t>0201 - Meat of bovine animals, fresh or chilled; 1501 - Pig fat, incl. lard, and poultry fat, rendered or otherwise extracted (excl. lard stearin and lard oil); 0504 - Guts, bladders and stomachs of animals (other than fish), whole and pieces thereof, fresh, chilled, frozen, salted, in brine, dried or smoked.; 0409 - Natural honey.; 0408 - Birds' eggs, not in shell, and egg yolks, fresh, dried, cooked by steaming or by boiling in water, moulded, frozen or otherwise preserved, whether or not containing added sugar or other sweetening matter; 0407 - Birds' eggs, in shell, fresh, preserved or cooked; 0401 - Milk and cream, not concentrated nor containing added sugar or other sweetening matter; 0308 - Aquatic invertebrates other than crustaceans and molluscs, live, fresh, chilled, frozen, dried, salted or in brine, even smoked; 0307 - Molluscs, fit for human consumption, even smoked, whether in shell or not, live, fresh, chilled, frozen, dried, salted or in brine; 0306 - Crustaceans, whether in shell or not, live, fresh, chilled, frozen, dried, salted or in brine, even smoked, incl. crustaceans in shell cooked by steaming or by boiling in water; 1502 - Fats of bovine animals, sheep or goats (excl. oil and oleostearin); 0304 - Fish fillets and other fish meat, whether or not minced, fresh, chilled or frozen; 0302 - Fish, fresh or chilled (excl. fish fillets and other fish meat of heading 0304);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0303 - Frozen fish (excl. fish fillets and other fish meat of heading 0304); 1506 - Other animal fats and oils and their fractions, whether or not refined, but not chemically modified.; 0201 - Meat of bovine animals, fresh or chilled;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0302 - Fish, fresh or chilled (excl. fish fillets and other fish meat of heading 0304); 0303 - Frozen fish (excl. fish fillets and other fish meat of heading 0304); 0202 - Meat of bovine animals, frozen; 0203 - Meat of swine, fresh, chilled or frozen; 0304 - Fish fillets and other fish meat, whether or not minced, fresh, chilled or frozen; 0308 - Aquatic invertebrates other than crustaceans and molluscs, live, fresh, chilled, frozen, dried, salted or in brine, even smoked;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0409 - Natural honey.; 0504 - Guts, bladders and stomachs of animals (other than fish), whole and pieces thereof, fresh, chilled, frozen, salted, in brine, dried or smoked.; 1501 - Pig fat, incl. lard, and poultry fat, rendered or otherwise extracted (excl. lard stearin and lard oil); 1502 - Fats of bovine animals, sheep or goats (excl. oil and oleostearin); 0306 - Crustaceans, whether in shell or not, live, fresh, chilled, frozen, dried, salted or in brine, even smoked, incl. crustaceans in shell cooked by steaming or by boiling in water; 0307 - Molluscs, fit for human consumption, even smoked, whether in shell or not, live, fresh, chilled, frozen, dried, salted or in brine; 1506 - Other animal fats and oils and their fractions, whether or not refined, but not chemically modified.</t>
  </si>
  <si>
    <d:r xmlns:d="http://schemas.openxmlformats.org/spreadsheetml/2006/main">
      <d:rPr>
        <d:sz val="11"/>
        <d:rFont val="Calibri"/>
      </d:rPr>
      <d:t xml:space="preserve">https://members.wto.org/crnattachments/2024/SPS/JPN/24_04125_00_e.pdf</d:t>
    </d:r>
  </si>
  <si>
    <t>DUS 2413:2024, Standard Test Method for Percent Ash Content of Engine Coolants, Second Edition</t>
  </si>
  <si>
    <t>This Draft Uganda Standard covers the determination of ash content after ignition of commercial engine coolants and antirusts, as packaged or after use.</t>
  </si>
  <si>
    <t>The proposed maximum residue limits (MRLs) for Ormetoprim notified in G/SPS/N/JPN/1223 (dated 7 August 2023) were adopted and published on 20 December 2023.The specified MRLs are available as below:</t>
  </si>
  <si>
    <t xml:space="preserve">・Meat and edible meat offal (HS codes: 02.01, 02.02, 02.03, 02.06, 02.07 and 02.09)_x000D_
・Fish and crustaceans, molluscs and other aquatic invertebrates (HS codes: 03.02, 03.03 and 03.04)_x000D_
・Animal originated products (HS code: 05.04)_x000D_
・Animal or vegetable fats and oils (HS codes: 15.01 and 15.02)</t>
  </si>
  <si>
    <t>1502 - Fats of bovine animals, sheep or goats (excl. oil and oleostearin); 1501 - Pig fat, incl. lard, and poultry fat, rendered or otherwise extracted (excl. lard stearin and lard oil); 0504 - Guts, bladders and stomachs of animals (other than fish), whole and pieces thereof, fresh, chilled, frozen, salted, in brine, dried or smoked.; 0304 - Fish fillets and other fish meat, whether or not minced, fresh, chilled or frozen; 0303 - Frozen fish (excl. fish fillets and other fish meat of heading 0304); 0302 - Fish, fresh or chilled (excl. fish fillets and other fish meat of heading 0304); 0209 - Pig fat, free of lean meat, and poultry fat, not rendered or otherwise extracted, fresh, chilled, frozen, salted, in brine, dried or smoked; 0207 - Meat and edible offal of fowls of the species Gallus domesticus, ducks, geese, turkeys and guinea fowls, fresh, chilled or frozen; 0206 - Edible offal of bovine animals, swine, sheep, goats, horses, asses, mules or hinnies, fresh, chilled or frozen; 0203 - Meat of swine, fresh, chilled or frozen; 0202 - Meat of bovine animals, frozen; 0201 - Meat of bovine animals, fresh or chilled; 1502 - Fats of bovine animals, sheep or goats (excl. oil and oleostearin); 1501 - Pig fat, incl. lard, and poultry fat, rendered or otherwise extracted (excl. lard stearin and lard oil); 0504 - Guts, bladders and stomachs of animals (other than fish), whole and pieces thereof, fresh, chilled, frozen, salted, in brine, dried or smoked.; 0304 - Fish fillets and other fish meat, whether or not minced, fresh, chilled or frozen; 0303 - Frozen fish (excl. fish fillets and other fish meat of heading 0304); 0302 - Fish, fresh or chilled (excl. fish fillets and other fish meat of heading 0304); 0209 - Pig fat, free of lean meat, and poultry fat, not rendered or otherwise extracted, fresh, chilled, frozen, salted, in brine, dried or smoked; 0207 - Meat and edible offal of fowls of the species Gallus domesticus, ducks, geese, turkeys and guinea fowls, fresh, chilled or frozen; 0206 - Edible offal of bovine animals, swine, sheep, goats, horses, asses, mules or hinnies, fresh, chilled or frozen; 0203 - Meat of swine, fresh, chilled or frozen; 0202 - Meat of bovine animals, frozen; 0201 - Meat of bovine animals, fresh or chilled</t>
  </si>
  <si>
    <d:r xmlns:d="http://schemas.openxmlformats.org/spreadsheetml/2006/main">
      <d:rPr>
        <d:sz val="11"/>
        <d:rFont val="Calibri"/>
      </d:rPr>
      <d:t xml:space="preserve">https://members.wto.org/crnattachments/2024/SPS/JPN/24_04127_00_e.pdf</d:t>
    </d:r>
  </si>
  <si>
    <t>Draft Ministerial Regulation Prescribing Industrial Products for Microwavable Food Plastic Bag for Reheating to Conform to the Standard B.E. ....</t>
  </si>
  <si>
    <t>The draft Ministerial Regulation mandates microwavable food plastic bag for reheating with food contact layers made from Polyethylene (PE) or Polypropylene (PP) to conform to the Thai Industrial Standard TIS 3022-25XX(20XX) Microwavable Food Plastic Bag for Reheating.</t>
  </si>
  <si>
    <t>Microwavable food plastic bag for reheating (ICS 83.080.01)</t>
  </si>
  <si>
    <t>83.080.01 - Plastics in general</t>
  </si>
  <si>
    <d:r xmlns:d="http://schemas.openxmlformats.org/spreadsheetml/2006/main">
      <d:rPr>
        <d:sz val="11"/>
        <d:rFont val="Calibri"/>
      </d:rPr>
      <d:t xml:space="preserve">https://members.wto.org/crnattachments/2024/TBT/THA/24_04104_00_x.pdf</d:t>
    </d:r>
  </si>
  <si>
    <t xml:space="preserve">The proposed maximum residue limits (MRLs) for Prothioconazole notified in G/SPS/N/JPN/1219 (dated 7 August 2023) were adopted and published on 20 December 2023._x000D_
The specified MRLs are available as below:</t>
  </si>
  <si>
    <t xml:space="preserve">・Meat and edible meat offal (HS codes: 02.01, 02.02, 02.03, 02.04, 02.05, 02.06, 02.07, 02.08 and 02.09)_x000D_
・Dairy produce, birds' eggs and natural honey  (HS codes: 04.01, 04.07, 04.08 and 04.09)_x000D_
・Animal originated products (HS code: 05.04)_x000D_
・Edible vegetables and certain roots and tubers (HS codes: 07.01, 07.07, 07.09, 07.10 and 07.13)_x000D_
・Edible fruit and nuts (HS codes: 08.04, 08.07, 08.10 and 08.11)_x000D_
・Spices (HS codes: 09.04, 09.05, 09.06, 09.07, 09.08, 09.09 and 09.10)_x000D_
・Cereals (HS codes: 10.01, 10.02, 10.03, 10.04, 10.05, 10.07 and 10.08)_x000D_
・Oil seeds and oleaginous fruits, miscellaneous grains, seeds and fruit (HS codes: 12.01, 12.02,12.05, 12.07 and 12.12)_x000D_
・Animal fats and oils (HS codes: 15.01, 15.02 and 15.06)    </t>
  </si>
  <si>
    <t>1506 - Other animal fats and oils and their fractions, whether or not refined, but not chemically modified.; 0807 - Melons, incl. watermelons, and papaws "papayas", fresh; 0804 - Dates, figs, pineapples, avocados, guavas, mangoes and mangosteens, fresh or dried; 0713 - Dried leguminous vegetables, shelled, whether or not skinned or split; 0710 - Vegetables, uncooked or cooked by steaming or boiling in water, frozen;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0707 - Cucumbers and gherkins, fresh or chilled.; 0701 - Potatoes, fresh or chilled; 0504 - Guts, bladders and stomachs of animals (other than fish), whole and pieces thereof, fresh, chilled, frozen, salted, in brine, dried or smoked.; 0409 - Natural honey.; 0408 - Birds' eggs, not in shell, and egg yolks, fresh, dried, cooked by steaming or by boiling in water, moulded, frozen or otherwise preserved, whether or not containing added sugar or other sweetening matter; 0407 - Birds' eggs, in shell, fresh, preserved or cooked; 0401 - Milk and cream, not concentrated nor containing added sugar or other sweetening matter;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0202 - Meat of bovine animals, frozen; 0811 - Fruit and nuts, uncooked or cooked by steaming or boiling in water, frozen, whether or not containing added sugar or other sweetening matter; 0905 - Vanilla; 1502 - Fats of bovine animals, sheep or goats (excl. oil and oleostearin); 1501 - Pig fat, incl. lard, and poultry fat, rendered or otherwise extracted (excl. lard stearin and lard oil);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1207 - Other oil seeds and oleaginous fruits, whether or not broken (excl. edible nuts, olives, soya beans, groundnuts, copra, linseed, rape or colza seeds and sunflower seeds); 1205 - Rape or colza seeds, whether or not broken; 1202 - Groundnuts, whether or not shelled or broken (excl. roasted or otherwise cooked); 1201 - Soya beans, whether or not broken; 1008 - Buckwheat, millet, canary seed and other cereals (excl. wheat and meslin, rye, barley, oats, maize, rice and grain sorghum); 1007 - Grain sorghum; 1005 - Maize or corn; 1004 - Oats; 1003 - Barley; 1002 - Rye; 1001 - Wheat and meslin;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0909 - Seeds of anis, badian, fennel, coriander, cumin or caraway; juniper berries; 0908 - Nutmeg, mace and cardamoms; 0907 - Cloves, whole fruit, cloves and stems; 0906 - Cinnamon and cinnamon-tree flowers; 0904 - Pepper of the genus Piper; dried or crushed or ground fruits of the genus Capsicum or of the genus Pimenta; 0201 - Meat of bovine animals, fresh or chilled; 1506 - Other animal fats and oils and their fractions, whether or not refined, but not chemically modified.; 0904 - Pepper of the genus Piper; dried or crushed or ground fruits of the genus Capsicum or of the genus Pimenta; 1501 - Pig fat, incl. lard, and poultry fat, rendered or otherwise extracted (excl. lard stearin and lard oil);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1207 - Other oil seeds and oleaginous fruits, whether or not broken (excl. edible nuts, olives, soya beans, groundnuts, copra, linseed, rape or colza seeds and sunflower seeds); 1205 - Rape or colza seeds, whether or not broken; 1202 - Groundnuts, whether or not shelled or broken (excl. roasted or otherwise cooked); 1201 - Soya beans, whether or not broken; 1008 - Buckwheat, millet, canary seed and other cereals (excl. wheat and meslin, rye, barley, oats, maize, rice and grain sorghum); 1007 - Grain sorghum; 1005 - Maize or corn; 1004 - Oats; 1003 - Barley; 1002 - Rye; 1001 - Wheat and meslin;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0909 - Seeds of anis, badian, fennel, coriander, cumin or caraway; juniper berries; 0908 - Nutmeg, mace and cardamoms; 0907 - Cloves, whole fruit, cloves and stems; 0906 - Cinnamon and cinnamon-tree flowers; 1502 - Fats of bovine animals, sheep or goats (excl. oil and oleostearin); 0905 - Vanilla; 0811 - Fruit and nuts, uncooked or cooked by steaming or boiling in water, frozen, whether or not containing added sugar or other sweetening matter; 0202 - Meat of bovine animals, frozen;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0804 - Dates, figs, pineapples, avocados, guavas, mangoes and mangosteens, fresh or dried; 0713 - Dried leguminous vegetables, shelled, whether or not skinned or split; 0710 - Vegetables, uncooked or cooked by steaming or boiling in water, frozen;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0707 - Cucumbers and gherkins, fresh or chilled.; 0701 - Potatoes, fresh or chilled; 0504 - Guts, bladders and stomachs of animals (other than fish), whole and pieces thereof, fresh, chilled, frozen, salted, in brine, dried or smoked.; 0409 - Natural honey.; 0408 - Birds' eggs, not in shell, and egg yolks, fresh, dried, cooked by steaming or by boiling in water, moulded, frozen or otherwise preserved, whether or not containing added sugar or other sweetening matter; 0407 - Birds' eggs, in shell, fresh, preserved or cooked; 0401 - Milk and cream, not concentrated nor containing added sugar or other sweetening matter;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0807 - Melons, incl. watermelons, and papaws "papayas", fresh; 0201 - Meat of bovine animals, fresh or chilled</t>
  </si>
  <si>
    <d:r xmlns:d="http://schemas.openxmlformats.org/spreadsheetml/2006/main">
      <d:rPr>
        <d:sz val="11"/>
        <d:rFont val="Calibri"/>
      </d:rPr>
      <d:t xml:space="preserve">https://members.wto.org/crnattachments/2024/SPS/JPN/24_04123_00_e.pdf
</d:t>
    </d:r>
  </si>
  <si>
    <t>Partial revision of the Japanese Pharmacopoeia Eighteenth edition（JP18-2）</t>
  </si>
  <si>
    <t> Revision to establish, amend and delete articles under Japanese Pharmacopoeia Eighteenth edition notified in G/TBT/N/JPN/797 has been adopted and published on dated 28 June 2024. Supplement Ⅱ of the Eighteenth edition, in English is planned to be published in due course.</t>
  </si>
  <si>
    <t>Pharmaceutical Products (HS:30)</t>
  </si>
  <si>
    <t>11.120 - Pharmaceutics; 11.120 - Pharmaceutics; 11.120 - Pharmaceutics</t>
  </si>
  <si>
    <d:r xmlns:d="http://schemas.openxmlformats.org/spreadsheetml/2006/main">
      <d:rPr>
        <d:sz val="11"/>
        <d:rFont val="Calibri"/>
      </d:rPr>
      <d:t xml:space="preserve">https://members.wto.org/crnattachments/2024/TBT/JPN/final_measure/24_04086_00_e.pdf
https://www.mhlw.go.jp/stf/seisakunitsuite/bunya/0000066597.html</d:t>
    </d:r>
  </si>
  <si>
    <t>SI 60335 part 2.11 - Household and similar electrical appliances – Safety: Particular requirements for tumble dryers</t>
  </si>
  <si>
    <t>The following paragraph should be added under item 6 of the notification:All sections of the proposed Standard SI 60335 part 2.11 will be mandatory after the entry into force of the notified revision except for the following:The National Subsections 7.201, 7.202, 7.203, 7.204, and 7.205 that appear in the Hebrew part of Section  7, dealing with marking and instructions;The National Subsection 10.201 dealing with energy consumption test that appear in the Hebrew part of Section  10;The National Subsection 204 dealing with power consumption in standby mode</t>
  </si>
  <si>
    <t>Tumble dryers (HS code(s): 84512); (ICS code(s): 13.120; 97.060)</t>
  </si>
  <si>
    <t>84512 - - Drying machines:; 84512 - - Drying machines:</t>
  </si>
  <si>
    <t>13.120 - Domestic safety; 97.060 - Laundry appliances; 13.120 - Domestic safety; 97.060 - Laundry appliances</t>
  </si>
  <si>
    <t>Protection of human health or safety (TBT); Harmonization (TBT); Reducing trade barriers and facilitating trade (TBT)</t>
  </si>
  <si>
    <t>The proposed maximum residue limits (MRLs) for Dimethomorph notified in G/SPS/N/JPN/1215 (dated 7 August 2023) were adopted and published on 20 December 2023.The specified MRLs are available as below:</t>
  </si>
  <si>
    <t xml:space="preserve">・Meat and edible meat offal (HS codes: 02.01, 02.02, 02.03, 02.04, 02.05, 02.06, 02.07, 02.08 and 02.09)_x000D_
・Dairy produce, birds' eggs and natural honey  (HS codes: 04.01, 04.07, 04.08 and 04.09)_x000D_
・Animal originated products (HS code: 05.04)_x000D_
・Edible vegetables and certain roots and tubers (HS codes: 07.01, 07.02, 07.03, 07.04, 07.05, 07.07, 07.08, 07.09, 07.10 and 07.13)_x000D_
・Edible fruit and nuts, peel of citrus fruit (HS codes: 08.04, 08.05, 08.06, 08.07, 08.10, 08.11 and 08.14)_x000D_
・Mate and spices (HS codes: 09.03, 09.04, 09.05, 09.06, 09.07, 09.08, 09.09 and 09.10)_x000D_
・Oil seeds and oleaginous fruits, miscellaneous grains, seeds and fruit (HS codes: 12.01, 12.07 and 12.10)_x000D_
・Animal fats and oils (HS codes: 15.01, 15.02 and 15.06)    </t>
  </si>
  <si>
    <t>0201 - Meat of bovine animals, fresh or chilled; 0804 - Dates, figs, pineapples, avocados, guavas, mangoes and mangosteens, fresh or dried; 0805 - Citrus fruit, fresh or dried; 0806 - Grapes, fresh or dried; 0807 - Melons, incl. watermelons, and papaws "papayas",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0814 - Peel of citrus fruit or melons (including watermelons), fresh, frozen, dried or provisionally preserved in brine, in sulphur water or in other preservative solutions.; 0903 - Maté.; 0904 - Pepper of the genus Piper; dried or crushed or ground fruits of the genus Capsicum or of the genus Pimenta; 0905 - Vanilla; 0906 - Cinnamon and cinnamon-tree flowers; 0907 - Cloves, whole fruit, cloves and stems; 0908 - Nutmeg, mace and cardamoms; 0909 - Seeds of anis, badian, fennel, coriander, cumin or caraway; juniper berries;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1201 - Soya beans, whether or not broken; 1207 - Other oil seeds and oleaginous fruits, whether or not broken (excl. edible nuts, olives, soya beans, groundnuts, copra, linseed, rape or colza seeds and sunflower seeds); 1210 - Hop cones, fresh or dried, whether or not ground, powdered or in the form of pellets; lupulin; 1501 - Pig fat, incl. lard, and poultry fat, rendered or otherwise extracted (excl. lard stearin and lard oil); 0713 - Dried leguminous vegetables, shelled, whether or not skinned or split; 1502 - Fats of bovine animals, sheep or goats (excl. oil and oleostearin); 0710 - Vegetables, uncooked or cooked by steaming or boiling in water, frozen; 0708 - Leguminous vegetables, shelled or unshelled, fresh or chilled;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0409 - Natural honey.; 0504 - Guts, bladders and stomachs of animals (other than fish), whole and pieces thereof, fresh, chilled, frozen, salted, in brine, dried or smoked.; 0701 - Potatoes, fresh or chilled; 0702 - Tomatoes, fresh or chilled.; 0703 - Onions, shallots, garlic, leeks and other alliaceous vegetables, fresh or chilled; 0704 - Cabbages, cauliflowers, kohlrabi, kale and similar edible brassicas, fresh or chilled; 0705 - Lettuce "Lactuca sativa" and chicory "Cichorium spp.", fresh or chilled; 0707 - Cucumbers and gherkins,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1506 - Other animal fats and oils and their fractions, whether or not refined, but not chemically modified.; 0206 - Edible offal of bovine animals, swine, sheep, goats, horses, asses, mules or hinnies, fresh, chilled or frozen; 0807 - Melons, incl. watermelons, and papaws "papayas", fresh; 0806 - Grapes, fresh or dried; 0805 - Citrus fruit, fresh or dried; 0804 - Dates, figs, pineapples, avocados, guavas, mangoes and mangosteens, fresh or dried; 0201 - Meat of bovine animals, fresh or chilled;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0409 - Natural honey.; 0504 - Guts, bladders and stomachs of animals (other than fish), whole and pieces thereof, fresh, chilled, frozen, salted, in brine, dried or smoked.; 0701 - Potatoes, fresh or chilled; 0702 - Tomatoes, fresh or chilled.; 0703 - Onions, shallots, garlic, leeks and other alliaceous vegetables, fresh or chilled; 0704 - Cabbages, cauliflowers, kohlrabi, kale and similar edible brassicas, fresh or chilled; 0705 - Lettuce "Lactuca sativa" and chicory "Cichorium spp.", fresh or chilled; 0707 - Cucumbers and gherkins, fresh or chilled.;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0811 - Fruit and nuts, uncooked or cooked by steaming or boiling in water, frozen, whether or not containing added sugar or other sweetening matter; 0903 - Maté.; 0205 - Meat of horses, asses, mules or hinnies, fresh, chilled or frozen.; 0204 - Meat of sheep or goats, fresh, chilled or frozen; 0203 - Meat of swine, fresh, chilled or frozen; 0202 - Meat of bovine animals, frozen; 0708 - Leguminous vegetables, shelled or unshelled, fresh or chilled; 0710 - Vegetables, uncooked or cooked by steaming or boiling in water, frozen; 1502 - Fats of bovine animals, sheep or goats (excl. oil and oleostearin); 0713 - Dried leguminous vegetables, shelled, whether or not skinned or split; 1501 - Pig fat, incl. lard, and poultry fat, rendered or otherwise extracted (excl. lard stearin and lard oil); 1210 - Hop cones, fresh or dried, whether or not ground, powdered or in the form of pellets; lupulin; 1207 - Other oil seeds and oleaginous fruits, whether or not broken (excl. edible nuts, olives, soya beans, groundnuts, copra, linseed, rape or colza seeds and sunflower seeds); 1201 - Soya beans, whether or not broken;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0909 - Seeds of anis, badian, fennel, coriander, cumin or caraway; juniper berries; 0908 - Nutmeg, mace and cardamoms; 0907 - Cloves, whole fruit, cloves and stems; 0906 - Cinnamon and cinnamon-tree flowers; 0905 - Vanilla; 0904 - Pepper of the genus Piper; dried or crushed or ground fruits of the genus Capsicum or of the genus Pimenta; 0814 - Peel of citrus fruit or melons (including watermelons), fresh, frozen, dried or provisionally preserved in brine, in sulphur water or in other preservative solutions.; 1506 - Other animal fats and oils and their fractions, whether or not refined, but not chemically modified.</t>
  </si>
  <si>
    <d:r xmlns:d="http://schemas.openxmlformats.org/spreadsheetml/2006/main">
      <d:rPr>
        <d:sz val="11"/>
        <d:rFont val="Calibri"/>
      </d:rPr>
      <d:t xml:space="preserve">https://members.wto.org/crnattachments/2024/SPS/JPN/24_04120_00_e.pdf</d:t>
    </d:r>
  </si>
  <si>
    <t>Proyecto de Segunda Revisión del Reglamento Técnico Ecuatoriano PRTE 217 (2R) "Equipos de protección individual contra caídas de altura"</t>
  </si>
  <si>
    <t xml:space="preserve">El presente reglamento técnico ecuatoriano aplica a los siguientes productos sean estos nacionales o importados que se comercialicen en el Ecuador:_x000D_
Equipos de protección individual (EPI): cinturones destinados a la sujeción para la retención en el puesto de trabajo según la actividad.Equipos de protección individual (EPI) contra caídas de altura: arneses anticaídas.Subsistemas de conexión: elementos de amarre, absorbedores de energía, dispositivos anticaídas retráctiles, conectores, que se provean con los EPI contra caídas de altura.Dispositivos de anclaje destinados exclusivamente a ser utilizados con los equipos de protección individual contra las caídas de altura.</t>
  </si>
  <si>
    <t>Prendas y complementos de vestir producidas por la costura o se peguen entre sí de hojas de plástico, incl. Guantes, mitones y manoplas (exc. productos de 9619) (Código(s) del SA: 392620); CAUCHO Y SUS MANUFACTURAS (Código(s) del SA: 40); Cintos, cinturones y bandoleras, de cuero natural cuero regenerado (Código(s) del SA: 420330); Complementos "accesorios" de vestir, de cuero natural cuero regenerado (exc. guantes, mitones y manoplas, cintos, cinturones y bandoleras, calzado y artículos de sombrerería y sus partes, así como espinilleras, máscaras de esgrima y demás artículos del capítulo 95) (Código(s) del SA: 420340); Artículos de hilados, tiras o formas similares de las partidas 5404 o 5405, cordeles, cuerdas o cordajes, no expresados ni comprendidos en otra parte (Código(s) del SA: 5609); Artículos de materia textil, confeccionados, incl. los patrones para prendas de vestir, n.c.o.p. (Código(s) del SA: 630790); Eslingas y artículos simil., de hierro o acero (exc. los artículos aislados para electricidad) (Código(s) del SA: 731290); Tornillos y pernos, roscados, de fundición, hierro o acero, incl. con sus tuercas y arandelas (exc. tirafondos y demás tornillos para madera; escarpias y armellas, roscadas; tornillos taladradores; clavos-tornillo, tapones metálicos roscados y sobretapas roscadas) (Código(s) del SA: 731815); Elementos y dispositivos de fijación, sin roscar, de fundición, hierro o acero, n.c.o.p. (Código(s) del SA: 731829); Construcciones y partes de construcciones, de aluminio, n.c.o.p.; chapas, barras, perfiles, tubos y simil., de aluminio, preparados para la construcción, n.c.o.p. (exc. construcciones prefabricadas de la partida 9406, así como puertas, ventanas y sus marcos, contramarcos y umbrales) (Código(s) del SA: 761090)</t>
  </si>
  <si>
    <t>392620 - Articles of apparel and clothing accessories produced by the stitching or sticking together of plastic sheeting, incl. gloves, mittens and mitts (excl. goods of 9619); 40 - RUBBER AND ARTICLES THEREOF; 420330 - Belts and bandoliers, of leather or composition leather; 420340 - Clothing accessories of leather or composition leather (excl. gloves, mittens and mitts, belts, bandoliers, footware and headgear and parts thereof, and goods of chapter 95 [e.g. shin guards, fencing masks]); 5609 - Articles of yarn, strip or the like of heading 54.04 or 54.05, twine, cordage, rope or cables, not elsewhere specified or included.; 630790 - Made-up articles of textile materials, incl. dress patterns, n.e.s.; 731290 - Plaited bands, slings and the like, of iron or steel (excl. electrically insulated products); 731815 - Threaded screws and bolts, of iron or steel, whether or not with their nuts and washers (excl. coach screws and other wood screws, screw hooks and screw rings, self-tapping screws, lag screws, stoppers, plugs and the like, threaded); 731829 - Non-threaded articles, of iron or steel; 761090 - Structures and parts of structures, of aluminium, n.e.s., and plates, rods, profiles, tubes and the like, prepared for use in structures, of aluminium, n.e.s. (excl. prefabricated buildings of heading 9406, doors and windows and their frames and thresholds for doors)</t>
  </si>
  <si>
    <d:r xmlns:d="http://schemas.openxmlformats.org/spreadsheetml/2006/main">
      <d:rPr>
        <d:sz val="11"/>
        <d:rFont val="Calibri"/>
      </d:rPr>
      <d:t xml:space="preserve">https://members.wto.org/crnattachments/2024/TBT/ECU/24_04100_00_s.pdf</d:t>
    </d:r>
  </si>
  <si>
    <t>The DLD order on temporary suspension of the importation or transit of live poultry and poultry carcasses from the Republic of Korea to prevent the spread of Highly Pathogenic Avian Influenza (Subtype H5N1)</t>
  </si>
  <si>
    <t>The WOAH reported an outbreak of Highly Pathogenic Avian Influenza (HPAI) in poultry farm of the Republic of Korea Therefore, it is necessary for Thailand to prevent the entry of Highly Pathogenic Avian Influenza disease (HPAI) into the country. By virtue of the Animal Epidemics Act B.E. 2558 (2015), the importation or transit of live poultry and poultry carcasses from the Republic of Korea is temporarily suspended for a period of 90 days the after date of publication in the Thai Royal Gazette.</t>
  </si>
  <si>
    <t>Avian Influenza; Animal health; Animal diseases; Zoonoses</t>
  </si>
  <si>
    <d:r xmlns:d="http://schemas.openxmlformats.org/spreadsheetml/2006/main">
      <d:rPr>
        <d:sz val="11"/>
        <d:rFont val="Calibri"/>
      </d:rPr>
      <d:t xml:space="preserve">https://members.wto.org/crnattachments/2024/SPS/THA/24_04081_00_x.pdf</d:t>
    </d:r>
  </si>
  <si>
    <t>Spiromesifen; Pesticide Tolerances. Final Rule</t>
  </si>
  <si>
    <t xml:space="preserve">This regulation establishes tolerances for residues of 
spiromesifen in or on Oranges and Orange, oil.</t>
  </si>
  <si>
    <t>Orange; Orange subgroup 10-10A, oil</t>
  </si>
  <si>
    <t>080510 - Fresh or dried oranges</t>
  </si>
  <si>
    <d:r xmlns:d="http://schemas.openxmlformats.org/spreadsheetml/2006/main">
      <d:rPr>
        <d:sz val="11"/>
        <d:rFont val="Calibri"/>
      </d:rPr>
      <d:t xml:space="preserve">https://www.govinfo.gov/content/pkg/FR-2024-06-26/html/2024-14001.htm</d:t>
    </d:r>
  </si>
  <si>
    <t>The proposed designation of substances used as an ingredient of agricultural chemicals and other chemical substances that is stipulated to be “The substance in food that does not pose any adverse health effect” for Bismuth subnitrate notified in G/SPS/N/JPN/1220 (dated 7 August 2023), was adopted and published on 20 December 2023.The specified designation is available as below:</t>
  </si>
  <si>
    <d:r xmlns:d="http://schemas.openxmlformats.org/spreadsheetml/2006/main">
      <d:rPr>
        <d:sz val="11"/>
        <d:rFont val="Calibri"/>
      </d:rPr>
      <d:t xml:space="preserve">https://members.wto.org/crnattachments/2024/SPS/JPN/24_04124_00_e.pdf</d:t>
    </d:r>
  </si>
  <si>
    <t>The proposed maximum residue limits (MRLs) for Tribromsalan notified in G/SPS/N/JPN/1224 (dated 7 August 2023) were adopted and published on 20 December 2023.The specified MRLs are available as below:</t>
  </si>
  <si>
    <t xml:space="preserve">・Meat and edible meat offal (HS codes: 02.01, 02.02 and 02.06)_x000D_
・Dairy produce  (HS code: 04.01)_x000D_
・Animal originated products (HS code: 05.04)_x000D_
・Animal fats and oils (HS code: 15.02)</t>
  </si>
  <si>
    <t>1502 - Fats of bovine animals, sheep or goats (excl. oil and oleostearin); 0504 - Guts, bladders and stomachs of animals (other than fish), whole and pieces thereof, fresh, chilled, frozen, salted, in brine, dried or smoked.; 0401 - Milk and cream, not concentrated nor containing added sugar or other sweetening matter; 0206 - Edible offal of bovine animals, swine, sheep, goats, horses, asses, mules or hinnies, fresh, chilled or frozen; 0203 - Meat of swine, fresh, chilled or frozen; 0202 - Meat of bovine animals, frozen; 0201 - Meat of bovine animals, fresh or chilled; 1502 - Fats of bovine animals, sheep or goats (excl. oil and oleostearin); 0504 - Guts, bladders and stomachs of animals (other than fish), whole and pieces thereof, fresh, chilled, frozen, salted, in brine, dried or smoked.; 0401 - Milk and cream, not concentrated nor containing added sugar or other sweetening matter; 0206 - Edible offal of bovine animals, swine, sheep, goats, horses, asses, mules or hinnies, fresh, chilled or frozen; 0203 - Meat of swine, fresh, chilled or frozen; 0202 - Meat of bovine animals, frozen; 0201 - Meat of bovine animals, fresh or chilled</t>
  </si>
  <si>
    <d:r xmlns:d="http://schemas.openxmlformats.org/spreadsheetml/2006/main">
      <d:rPr>
        <d:sz val="11"/>
        <d:rFont val="Calibri"/>
      </d:rPr>
      <d:t xml:space="preserve">https://members.wto.org/crnattachments/2024/SPS/JPN/24_04128_00_e.pdf</d:t>
    </d:r>
  </si>
  <si>
    <t>DUS 2697:2024, Standard Practice for Sampling and Preparing Aqueous Solutions of Engine Coolants or Antirusts for Testing Purposes, First Edition</t>
  </si>
  <si>
    <t>This Draft Uganda Standard covers information on sampling and preparing solutions of engine coolants and antirusts.</t>
  </si>
  <si>
    <t>The DLD order on temporary suspension of the importation or transit of live poultry and poultry carcasses from Australia to prevent the spread of Highly Pathogenic Avian Influenza (Subtype H7N9)</t>
  </si>
  <si>
    <t>The WOAH reported an outbreak of Highly Pathogenic Avian Influenza (HPAI) in poultry farm of Australia. Therefore, it is necessary for Thailand to prevent the entry of Highly Pathogenic Avian Influenza disease (HPAI) into the country. By virtue of the Animal Epidemics Act B.E. 2558 (2015), the importation or transit of live poultry and poultry carcasses from Australia is temporarily suspended for a period of 90 days after date of publication in the Thai Royal Gazette.</t>
  </si>
  <si>
    <d:r xmlns:d="http://schemas.openxmlformats.org/spreadsheetml/2006/main">
      <d:rPr>
        <d:sz val="11"/>
        <d:rFont val="Calibri"/>
      </d:rPr>
      <d:t xml:space="preserve">https://members.wto.org/crnattachments/2024/SPS/THA/24_04082_00_x.pdf</d:t>
    </d:r>
  </si>
  <si>
    <t>Pipeline Safety: Valve Installation and Minimum Rupture Detection Standards</t>
  </si>
  <si>
    <t xml:space="preserve">In response to a Petition for Reconsideration of an 1 August 2023, technical correction rule (notified as G/TBT/N/USA/1576/Add.1/Corr.1), the Pipeline and Hazardous Materials Safety Administration (PHMSA) is issuing additional corrections codifying a decision of the U.S. Court of Appeals for the District of Columbia Circuit (D.C. Circuit) regarding the final rule titled “Pipeline Safety: Requirement of Valve Installation and Minimum Rupture Detection Standards” (notified as G/TBT/N/USA/1576/Add.1These amendments are effective as of 28 June 2024.89 FR (Federal Register) 53877, Title 49 Code of Federal Regulations Part 192_x000D_
https://www.govinfo.gov/content/pkg/FR-2024-06-28/html/2024-14116.htm_x000D_
https://www.govinfo.gov/content/pkg/FR-2024-06-28/pdf/2024-14116.pdfThese correcting amendments and previous actions notified under the symbol G/TBT/N/USA/1576 are identified by Docket Number PHMSA-2013-0255. The Docket Folder is available on Regulations.gov at https://www.regulations.gov/docket/PHMSA-2013-0255/document and provides access to primary and supporting documents as well as comments received. Documents are also accessible from Regulations.gov by searching the Docket Number.</t>
  </si>
  <si>
    <t>Pipelines, valve installation</t>
  </si>
  <si>
    <t>03.120 - Quality; 03.120 - Quality; 03.120 - Quality; 13.200 - Accident and disaster control; 13.200 - Accident and disaster control; 13.200 - Accident and disaster control; 23.040 - Pipeline components and pipelines; 23.040 - Pipeline components and pipelines; 23.040 - Pipeline components and pipelines; 23.060 - Valves; 23.060 - Valves; 23.060 - Valves; 23.060.40 - Pressure regulators; 23.060.40 - Pressure regulators; 23.060.40 - Pressure regulators; 33.070 - Mobile services; 33.070 - Mobile services; 33.070 - Mobile services; 33.120 - Components and accessories for telecommunications equipment; 33.120 - Components and accessories for telecommunications equipment; 33.120 - Components and accessories for telecommunications equipment</t>
  </si>
  <si>
    <d:r xmlns:d="http://schemas.openxmlformats.org/spreadsheetml/2006/main">
      <d:rPr>
        <d:sz val="11"/>
        <d:rFont val="Calibri"/>
      </d:rPr>
      <d:t xml:space="preserve">https://members.wto.org/crnattachments/2024/TBT/USA/24_04096_00_e.pdf</d:t>
    </d:r>
  </si>
  <si>
    <t>Proposed Maximum Residue Limit: Abamectin (PMRL2024-13)</t>
  </si>
  <si>
    <t>The objective of the notified document PMRL2024-13 is to consult on the listed maximum residue limits (MRLs) for abamectin that have been proposed by Health Canada’s Pest Management Regulatory Agency (PMRA).MRL (ppm)1 Raw Agricultural Commodity (RAC) and/or Processed Commodity1.0              Tea, dried leaves0.4              Papayas20.09            Stone fruits (crop group 12-09)0.07            Fruiting vegetables (crop group 8-09)0.05            Low growing berries (crop subgroup 13-07G)0.03            Carrot roots0.02            Citrus fruits (crop group 10) (revised); pome fruits (crop group 11-09);                   small fruits vine climbing, except fuzzy kiwifruit (crop subgroup 13-07F);                   dried chive leaves 0.015          Guavas, pineapples0.01            Tree nuts (crop group 14-11); tropical and subtropical fruits; small fruits;                   inedible peel (crop subgroup 24A); sweet corn kernels plus cob with husks                   removed1 ppm = parts per million2 This MRL is proposed to replace the currently established MRL of 0.03 ppm for papayas.The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</si>
  <si>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abamectin in or on various commodities (ICS codes: 65.020, 65.100, 67.040, 67.060, 67.080, 67.140)</t>
  </si>
  <si>
    <t>65.020 - Farming and forestry; 65.100 - Pesticides and other agrochemicals; 67.040 - Food products in general; 67.060 - Cereals, pulses and derived products; 67.080 - Fruits. Vegetables; 67.140 - Tea. Coffee. Cocoa</t>
  </si>
  <si>
    <t>SDA/MAPA Ordinance No. 1.136, 25 June 2024</t>
  </si>
  <si>
    <t>SDA/MAPA Ordinance that establishes guidelines for rework, revalidation and reprocessing procedures for formulated products, technical products and pre-mixtures, of a chemical nature, provided for by Law No. 14,785, of December 27, 2023, in accordance with the provisions of art. 38.</t>
  </si>
  <si>
    <t>Formulated products, technical products and premixes of a chemical nature</t>
  </si>
  <si>
    <d:r xmlns:d="http://schemas.openxmlformats.org/spreadsheetml/2006/main">
      <d:rPr>
        <d:sz val="11"/>
        <d:rFont val="Calibri"/>
      </d:rPr>
      <d:t xml:space="preserve">https://www.in.gov.br/en/web/dou/-/portaria-sda/mapa-n-1.136-de-25-de-junho-de-2024-568302169</d:t>
    </d:r>
  </si>
  <si>
    <t>Pipeline Safety: Periodic Updates of Regulatory References to Technical Standards and Miscellaneous Amendments</t>
  </si>
  <si>
    <t xml:space="preserve">The Pipeline and Hazardous Materials Safety Administration (PHMSA) is issuing a technical correction to regulations promulgated in its 29 April 2024, final rule titled “Periodic Updates of Regulatory References to Technical Standards and Miscellaneous Amendments.” The correction addresses text that was inadvertently deleted or omitted by the final rule.This correction is effective 28 June 2024.89 Federal Register (FR) 53880, 28 June 2024; Title 49 Code of Federal Regulations (CFR) Part 192_x000D_
https://www.govinfo.gov/content/pkg/FR-2024-06-28/html/2024-14115.htm_x000D_
https://www.govinfo.gov/content/pkg/FR-2024-06-28/pdf/2024-14115.pdfThis final rule; correction and previous actions related to G/TBT/N/USA/2118 are identified by Docket Number PHMSA-2016-0002. The Docket Folder is available on Regulations.gov at https://www.regulations.gov/docket/PHMSA-2016-0002/document and provides access to primary and supporting documents as well as comments received. Documents are also accessible from Regulations.gov by searching the Docket Number.</t>
  </si>
  <si>
    <t>Pipeline safety; Accident and disaster control (ICS code(s): 13.200); Pipeline components and pipelines (ICS code(s): 23.040)</t>
  </si>
  <si>
    <t>13.200 - Accident and disaster control; 23.040 - Pipeline components and pipelines; 13.200 - Accident and disaster control; 23.040 - Pipeline components and pipelines</t>
  </si>
  <si>
    <t>Protection of human health or safety (TBT); Protection of the environment (TBT); Reducing trade barriers and facilitating trade (TBT); Cost saving and productivity enhancement (TBT)</t>
  </si>
  <si>
    <d:r xmlns:d="http://schemas.openxmlformats.org/spreadsheetml/2006/main">
      <d:rPr>
        <d:sz val="11"/>
        <d:rFont val="Calibri"/>
      </d:rPr>
      <d:t xml:space="preserve">https://members.wto.org/crnattachments/2024/TBT/USA/24_04097_00_e.pdf</d:t>
    </d:r>
  </si>
  <si>
    <t>DUS 2411:2024, Standard Test Methods for Chloride Ion in Water, First Edition</t>
  </si>
  <si>
    <t>This Draft Uganda Standard covers the determination of chloride ion in water, wastewater (Test Method C only), and brines. The following three test methods are included test Method A( Mercurimetric Titration), Test Method B (Silver Nitrate Titration) and  Test Method C (Ion-Selective Electrode Method).</t>
  </si>
  <si>
    <t>DUS 2417:2024, Standard Test Method for Freezing Point of Aqueous Engine Coolants, Second Edition</t>
  </si>
  <si>
    <t>This Draft Uganda Standard covers the determination of the freezing point of an aqueous engine coolant solution in the laboratory. Secondary phases separating on dilution need not be separated. These products may also be marketed in a ready-to-use form (prediluted).</t>
  </si>
  <si>
    <t>Prohibition on Certain Hydrofluorocarbons in Stationary Refrigeration, Chillers, Aerosols-Propellants, and Foam End-Uses Regulation</t>
  </si>
  <si>
    <t>The Prohibitions on Use of Certain Hydrofluorocarbons in Stationary Refrigeration, Stationary Air Conditioning, and Other End-Uses Regulation (HFC Regulation) requires Air Conditioning (AC) and Variable Refrigerant Flow (VRF) equipment manufacturers to submit their Annual Reclaim Use Report to the California Air Resources Board (CARB) pursuant to Cal. Code Regs., Title 17, § 95376(c) by 1 July 2024 to meet the requirements of the Refrigerant Recovery, Reclaim, and Reuse (R4) Program. The R4 Program requires equipment manufacturers subject to the prohibitions under the “Other AC” and “VRF” end-uses listed in Section 95374(c), Table 3 of the regulation to use a specified minimum amount of certified reclaimed refrigerant in new equipment or in the servicing of existing equipment. The specified amount is dependent on the baselines reported in the previous calendar year. As a reminder, manufacturers of AC equipment that are subject to the 1 January 2025 prohibitions in Table 3 of Section 95374(c) of the regulation are subject to a 10 percent certified reclaimed refrigerant use requirement for both 2023 and 2024. Manufacturers of VRF equipment that are subject to the 1 January 2025 prohibitions in Table 3 of Section 95374(c) of the regulation are subject to a 15 percent certified reclaimed refrigerant use requirement for 2023 and 2024, and a 25 percent certified reclaimed refrigerant requirement for 2025. An “Early Action Credit” option can also be utilized by AC and VRF equipment manufacturers for refrigerant with a GWP less than 750 to partly or completely fulfill requirements on the use of reclaimed refrigerant. To assist with compliance, CARB has developed a template form that can be used to submit the report, available on the R4 Program pageReports are to be submitted to: HFCReduction@arb.ca.govFurther information on Prohibitions on Use of Certain Hydrofluorocarbons in Stationary Refrigeration, Chillers, Aerosols-Propellants, and Foam End-Uses Regulation available at: https://ww2.arb.ca.gov/rulemaking/2020/hfc2020</t>
  </si>
  <si>
    <t>13.020 - Environmental protection; 13.020 - Environmental protection; 13.040 - Air quality; 13.040 - Air quality; 71.020 - Production in the chemical industry; 71.020 - Production in the chemical industry; 71.100 - Products of the chemical industry; 71.100 - Products of the chemical industry</t>
  </si>
  <si>
    <d:r xmlns:d="http://schemas.openxmlformats.org/spreadsheetml/2006/main">
      <d:rPr>
        <d:sz val="11"/>
        <d:rFont val="Calibri"/>
      </d:rPr>
      <d:t xml:space="preserve">https://members.wto.org/crnattachments/2024/TBT/USA/24_04098_00_e.pdf</d:t>
    </d:r>
  </si>
  <si>
    <t>The proposed maximum residue limits (MRLs) for Fluxapyroxad notified in G/SPS/N/JPN/1217 (dated 7 August 2023) were adopted and published on 20 December 2023.The specified MRLs are available as below:</t>
  </si>
  <si>
    <t xml:space="preserve">・Meat and edible meat offal (HS codes: 02.01, 02.02, 02.03, 02.04, 02.05, 02.06, 02.07, 02.08 and 02.09)_x000D_
・Dairy produce, birds' eggs and natural honey  (HS codes: 04.01, 04.07, 04.08 and 04.09)_x000D_
・Animal originated products (HS code: 05.04)_x000D_
・Edible vegetables and certain roots and tubers (HS codes: 07.01, 07.02, 07.03, 07.04, 07.05, 07.06, 07.07, 07.08, 07.09, 07.10, 07.13 and 07.14)_x000D_
・Edible fruit and nuts, peel of citrus fruit (HS codes: 08.01, 08.02, 08.03, 08.04, 08.05, 08.06, 08.07, 08.08, 08.09, 08.10, 08.11 and 08.14)_x000D_
・Coffee, mate and spices (HS codes: 09.01, 09.03, 09.04, 09.05, 09.06, 09.07, 09.08, 09.09 and 09.10)_x000D_
・Cereals (HS codes: 10.01, 10.02, 10.03, 10.04, 10.05, 10.06, 10.07 and 10.08)_x000D_
・Oil seeds and oleaginous fruits, miscellaneous grains, seeds and fruit (HS codes: 12.01, 12.02, 12.04, 12.05, 12.06, 12.07 and 12.12)_x000D_
・Animal fats and oils (HS codes: 15.01, 15.02 and 15.06)</t>
  </si>
  <si>
    <t>0201 - Meat of bovine animals, fresh or chilled; 0809 - Apricots, cherries, peaches incl. nectarines, plums and sloes, fresh;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0811 - Fruit and nuts, uncooked or cooked by steaming or boiling in water, frozen, whether or not containing added sugar or other sweetening matter; 0814 - Peel of citrus fruit or melons (including watermelons), fresh, frozen, dried or provisionally preserved in brine, in sulphur water or in other preservative solutions.; 0901 - Coffee, whether or not roasted or decaffeinated; coffee husks and skins; coffee substitutes containing coffee in any proportion; 0903 - Maté.; 0904 - Pepper of the genus Piper; dried or crushed or ground fruits of the genus Capsicum or of the genus Pimenta; 0905 - Vanilla; 0906 - Cinnamon and cinnamon-tree flowers; 0907 - Cloves, whole fruit, cloves and stems; 0908 - Nutmeg, mace and cardamoms; 0909 - Seeds of anis, badian, fennel, coriander, cumin or caraway; juniper berries;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1001 - Wheat and meslin; 1002 - Rye; 1003 - Barley; 1004 - Oats; 1005 - Maize or corn; 1006 - Rice; 1007 - Grain sorghum; 1008 - Buckwheat, millet, canary seed and other cereals (excl. wheat and meslin, rye, barley, oats, maize, rice and grain sorghum); 1201 - Soya beans, whether or not broken; 1202 - Groundnuts, whether or not shelled or broken (excl. roasted or otherwise cooked); 1204 - Linseed, whether or not broken.; 1205 - Rape or colza seeds, whether or not broken; 1206 - Sunflower seeds, whether or not broken.; 1207 - Other oil seeds and oleaginous fruits, whether or not broken (excl. edible nuts, olives, soya beans, groundnuts, copra, linseed, rape or colza seeds and sunflower seeds);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1501 - Pig fat, incl. lard, and poultry fat, rendered or otherwise extracted (excl. lard stearin and lard oil); 0808 - Apples, pears and quinces, fresh; 1502 - Fats of bovine animals, sheep or goats (excl. oil and oleostearin); 0807 - Melons, incl. watermelons, and papaws "papayas", fresh; 0805 - Citrus fruit, fresh or dried;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0401 - Milk and cream, not concentrated nor containing added sugar or other sweetening matter; 0407 - Birds' eggs, in shell, fresh, preserved or cooked; 0408 - Birds' eggs, not in shell, and egg yolks, fresh, dried, cooked by steaming or by boiling in water, moulded, frozen or otherwise preserved, whether or not containing added sugar or other sweetening matter; 0409 - Natural honey.; 0504 - Guts, bladders and stomachs of animals (other than fish), whole and pieces thereof, fresh, chilled, frozen, salted, in brine, dried or smoked.; 0701 - Potatoes, fresh or chilled; 0702 - Tomatoes, fresh or chilled.; 0703 - Onions, shallots, garlic, leeks and other alliaceous vegetables, fresh or chilled; 0704 - Cabbages, cauliflowers, kohlrabi, kale and similar edible brassicas, fresh or chilled; 0705 - Lettuce "Lactuca sativa" and chicory "Cichorium spp.", fresh or chilled; 0706 - Carrots, turnips, salad beetroot, salsify, celeriac, radishes and similar edible roots, fresh or chilled; 0707 - Cucumbers and gherkins, fresh or chilled.; 0708 - Leguminous vegetables, shelled or unshelled, fresh or chilled;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0710 - Vegetables, uncooked or cooked by steaming or boiling in water, frozen; 0713 - Dried leguminous vegetables, shelled, whether or not skinned or split; 0714 - Roots and tubers of manioc, arrowroot, salep, Jerusalem artichokes, sweet potatoes and similar roots and tubers with high starch or inulin content, fresh, chilled, frozen or dried, whether or not sliced or in the form of pellets; sago pith; 0801 - Coconuts, Brazil nuts and cashew nuts, fresh or dried, whether or not shelled or peeled; 0802 - Other nuts, fresh or dried, whether or not shelled or peeled (excl. coconuts, Brazil nuts and cashew nuts); 0803 - Bananas, incl. plantains, fresh or dried; 0804 - Dates, figs, pineapples, avocados, guavas, mangoes and mangosteens, fresh or dried; 0806 - Grapes, fresh or dried; 1506 - Other animal fats and oils and their fractions, whether or not refined, but not chemically modified.; 1506 - Other animal fats and oils and their fractions, whether or not refined, but not chemically modified.; 0808 - Apples, pears and quinces, fresh; 1501 - Pig fat, incl. lard, and poultry fat, rendered or otherwise extracted (excl. lard stearin and lard oil);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1207 - Other oil seeds and oleaginous fruits, whether or not broken (excl. edible nuts, olives, soya beans, groundnuts, copra, linseed, rape or colza seeds and sunflower seeds); 1206 - Sunflower seeds, whether or not broken.; 1205 - Rape or colza seeds, whether or not broken; 1204 - Linseed, whether or not broken.; 1202 - Groundnuts, whether or not shelled or broken (excl. roasted or otherwise cooked); 1201 - Soya beans, whether or not broken; 1008 - Buckwheat, millet, canary seed and other cereals (excl. wheat and meslin, rye, barley, oats, maize, rice and grain sorghum); 1007 - Grain sorghum; 1006 - Rice; 1005 - Maize or corn; 1004 - Oats; 1003 - Barley; 1002 - Rye; 1001 - Wheat and meslin;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 0909 - Seeds of anis, badian, fennel, coriander, cumin or caraway; juniper berries; 0908 - Nutmeg, mace and cardamoms; 0907 - Cloves, whole fruit, cloves and stems; 0906 - Cinnamon and cinnamon-tree flowers; 0905 - Vanilla; 0904 - Pepper of the genus Piper; dried or crushed or ground fruits of the genus Capsicum or of the genus Pimenta; 0903 - Maté.; 0901 - Coffee, whether or not roasted or decaffeinated; coffee husks and skins; coffee substitutes containing coffee in any proportion; 0814 - Peel of citrus fruit or melons (including watermelons), fresh, frozen, dried or provisionally preserved in brine, in sulphur water or in other preservative solutions.; 0811 - Fruit and nuts, uncooked or cooked by steaming or boiling in water, frozen, whether or not containing added sugar or other sweetening matter; 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1502 - Fats of bovine animals, sheep or goats (excl. oil and oleostearin); 0809 - Apricots, cherries, peaches incl. nectarines, plums and sloes, fresh; 0807 - Melons, incl. watermelons, and papaws "papayas", fresh; 0202 - Meat of bovine animals, frozen; 0806 - Grapes, fresh or dried; 0804 - Dates, figs, pineapples, avocados, guavas, mangoes and mangosteens, fresh or dried; 0803 - Bananas, incl. plantains, fresh or dried; 0802 - Other nuts, fresh or dried, whether or not shelled or peeled (excl. coconuts, Brazil nuts and cashew nuts); 0801 - Coconuts, Brazil nuts and cashew nuts, fresh or dried, whether or not shelled or peeled; 0714 - Roots and tubers of manioc, arrowroot, salep, Jerusalem artichokes, sweet potatoes and similar roots and tubers with high starch or inulin content, fresh, chilled, frozen or dried, whether or not sliced or in the form of pellets; sago pith; 0713 - Dried leguminous vegetables, shelled, whether or not skinned or split; 0710 - Vegetables, uncooked or cooked by steaming or boiling in water, frozen; 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 0708 - Leguminous vegetables, shelled or unshelled, fresh or chilled; 0707 - Cucumbers and gherkins, fresh or chilled.; 0706 - Carrots, turnips, salad beetroot, salsify, celeriac, radishes and similar edible roots, fresh or chilled; 0705 - Lettuce "Lactuca sativa" and chicory "Cichorium spp.", fresh or chilled; 0704 - Cabbages, cauliflowers, kohlrabi, kale and similar edible brassicas, fresh or chilled; 0703 - Onions, shallots, garlic, leeks and other alliaceous vegetables, fresh or chilled; 0702 - Tomatoes, fresh or chilled.; 0701 - Potatoes, fresh or chilled; 0504 - Guts, bladders and stomachs of animals (other than fish), whole and pieces thereof, fresh, chilled, frozen, salted, in brine, dried or smoked.; 0409 - Natural honey.; 0408 - Birds' eggs, not in shell, and egg yolks, fresh, dried, cooked by steaming or by boiling in water, moulded, frozen or otherwise preserved, whether or not containing added sugar or other sweetening matter; 0407 - Birds' eggs, in shell, fresh, preserved or cooked; 0401 - Milk and cream, not concentrated nor containing added sugar or other sweetening matter;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0805 - Citrus fruit, fresh or dried; 0201 - Meat of bovine animals, fresh or chilled</t>
  </si>
  <si>
    <d:r xmlns:d="http://schemas.openxmlformats.org/spreadsheetml/2006/main">
      <d:rPr>
        <d:sz val="11"/>
        <d:rFont val="Calibri"/>
      </d:rPr>
      <d:t xml:space="preserve">https://members.wto.org/crnattachments/2024/SPS/JPN/24_04122_00_e.pdf</d:t>
    </d:r>
  </si>
  <si>
    <t>Amendment to the Cabinet Ordinance of Designation of Narcotics, Narcotic plants, Psychotropics and Narcotic/Psychotropic Raw Materials</t>
  </si>
  <si>
    <t>Under the provision of the Narcotics and Psychotropics Control Act, Ministry of Health, Labour and Welfare designates two substances as deemed narcotics.</t>
  </si>
  <si>
    <t>Substance that can easily produce narcotics through chemical changes</t>
  </si>
  <si>
    <d:r xmlns:d="http://schemas.openxmlformats.org/spreadsheetml/2006/main">
      <d:rPr>
        <d:sz val="11"/>
        <d:rFont val="Calibri"/>
      </d:rPr>
      <d:t xml:space="preserve">https://members.wto.org/crnattachments/2024/TBT/JPN/24_04103_00_e.pdf</d:t>
    </d:r>
  </si>
  <si>
    <t>The proposed maximum residue limits (MRLs) for Cyphenothrin notified in G/SPS/N/JPN/1222 (dated 7 August 2023) were adopted and published on 20 December 2023.The specified MRLs are available as below:</t>
  </si>
  <si>
    <t xml:space="preserve">・Meat and edible meat offal (HS codes: 02.03, 02.06 and 02.09)_x000D_
・Animal originated products (HS code: 05.04)_x000D_
・Animal or vegetable fats and oils (HS code: 15.01)    </t>
  </si>
  <si>
    <t>1501 - Pig fat, incl. lard, and poultry fat, rendered or otherwise extracted (excl. lard stearin and lard oil); 0504 - Guts, bladders and stomachs of animals (other than fish), whole and pieces thereof, fresh, chilled, frozen, salted, in brine, dried or smoked.; 0209 - Pig fat, free of lean meat, and poultry fat, not rendered or otherwise extracted, fresh, chilled, frozen, salted, in brine, dried or smoked; 0206 - Edible offal of bovine animals, swine, sheep, goats, horses, asses, mules or hinnies, fresh, chilled or frozen; 0203 - Meat of swine, fresh, chilled or frozen; 0203 - Meat of swine, fresh, chilled or frozen; 0206 - Edible offal of bovine animals, swine, sheep, goats, horses, asses, mules or hinnies, fresh, chilled or frozen; 0209 - Pig fat, free of lean meat, and poultry fat, not rendered or otherwise extracted, fresh, chilled, frozen, salted, in brine, dried or smoked; 0504 - Guts, bladders and stomachs of animals (other than fish), whole and pieces thereof, fresh, chilled, frozen, salted, in brine, dried or smoked.; 1501 - Pig fat, incl. lard, and poultry fat, rendered or otherwise extracted (excl. lard stearin and lard oil)</t>
  </si>
  <si>
    <d:r xmlns:d="http://schemas.openxmlformats.org/spreadsheetml/2006/main">
      <d:rPr>
        <d:sz val="11"/>
        <d:rFont val="Calibri"/>
      </d:rPr>
      <d:t xml:space="preserve">https://members.wto.org/crnattachments/2024/SPS/JPN/24_04126_00_e.pdf</d:t>
    </d:r>
  </si>
  <si>
    <t>Tonga</t>
  </si>
  <si>
    <t>Hazardous Wastes and Chemicals Act 2010</t>
  </si>
  <si>
    <t>An Act to provide for the regulation and proper management of hazardous wastes and chemicals in accordance with accepted international practices and the international conventions applying to the use, transboundary movement and disposal of hazardous substances and for related purposes.       </t>
  </si>
  <si>
    <t>Persistent organic pollutants, radioactive wastes, hazardous chemicals, hazardous wastes, hazardous substances</t>
  </si>
  <si>
    <t>13.030.30 - Special wastes; 71.100 - Products of the chemical industry</t>
  </si>
  <si>
    <d:r xmlns:d="http://schemas.openxmlformats.org/spreadsheetml/2006/main">
      <d:rPr>
        <d:sz val="11"/>
        <d:rFont val="Calibri"/>
      </d:rPr>
      <d:t xml:space="preserve">https://ago.gov.to/cms/images/LEGISLATION/PRINCIPAL/2010/2010-0028/HazardousWastesandChemicalsAct_3.pdf</d:t>
    </d:r>
  </si>
  <si>
    <t>Proyecto de Primera Revisión del Reglamento Técnico Ecuatoriano PRTE 167 (1R) "Fuentes de alimentación conmutadas de bajo voltaje"</t>
  </si>
  <si>
    <t xml:space="preserve">El presente reglamento técnico ecuatoriano aplica a los siguientes productos sean estos nacionales o importados que se comercialicen en el Ecuador:_x000D_
Fuentes de alimentación conmutadas (SMPS) de bajo voltaje, alimentadas por fuentes de voltaje de hasta 1000 V AC o 1500 V DC que proporcionan salidas en AC y/o DC.</t>
  </si>
  <si>
    <t>Convertidores estáticos (Código(s) del SA: 850440)</t>
  </si>
  <si>
    <t>29.200 - Rectifiers. Converters. Stabilized power supply</t>
  </si>
  <si>
    <d:r xmlns:d="http://schemas.openxmlformats.org/spreadsheetml/2006/main">
      <d:rPr>
        <d:sz val="11"/>
        <d:rFont val="Calibri"/>
      </d:rPr>
      <d:t xml:space="preserve">https://members.wto.org/crnattachments/2024/TBT/ECU/24_04070_00_s.pdf</d:t>
    </d:r>
  </si>
  <si>
    <t>Draft Order of the Ministry of Agrarian Policy and Food of Ukraine “On Approval of the Requirements for Ensuring the Welfare of Live Vertebrate Animals during Transportation and Conducting Related Operations”</t>
  </si>
  <si>
    <t>The draft Order sets forth requirements aimed at ensuring the welfare and proper treatment of live vertebrate animals during transportation. It also includes provisions for related operations, such as specific checks to be carried out by officials in respect of consignments entering or leaving the customs territory of Ukraine. The draft Order aims to align Ukraine's regulations for animal transportation with those of the European Union,  specifically by implementing  Council Regulation (EC) No 1/2005 of 22 December 2004 on the protection of animals during transport and related operations and amending Directives 64/432/EEC and 93/119/EC and Regulation (EC) No 1255/97.</t>
  </si>
  <si>
    <t>Live horses, asses, mules and hinnies (HS code(s): 0101); Live bovine animals (HS code(s): 0102); Live swine (HS code(s): 0103); Live sheep and goats (HS code(s): 0104); Live poultry, "fowls of the species Gallus domesticus, ducks, geese, turkeys and guinea fowls" (HS code(s): 0105)</t>
  </si>
  <si>
    <t>0101 - Live horses, asses, mules and hinnies; 0102 - Live bovine animals; 0103 - Live swine; 0104 - Live sheep and goats; 0105 - Live poultry, "fowls of the species Gallus domesticus, ducks, geese, turkeys and guinea fowls"</t>
  </si>
  <si>
    <d:r xmlns:d="http://schemas.openxmlformats.org/spreadsheetml/2006/main">
      <d:rPr>
        <d:sz val="11"/>
        <d:rFont val="Calibri"/>
      </d:rPr>
      <d:t xml:space="preserve">https://members.wto.org/crnattachments/2024/SPS/UKR/24_04067_00_x.pdf
https://members.wto.org/crnattachments/2024/SPS/UKR/24_04067_01_x.pdf
https://minagro.gov.ua/npa/pro-zatverdzhennia-vymoh-do-zabezpechennia-blahopoluchchia-silskohospodarskykh-tvaryn-pid-chas-transportuvannia-ta-zdiisnennia-suputnikh-operatsii</d:t>
    </d:r>
  </si>
  <si>
    <t xml:space="preserve">Imports   (Standardization and Quality Control) Regulations 2024 - Gazette Extraordinary of the Democratic Socialist Republic of Sri Lanka No. 2384/35  dated  17  May 2024 (16 pages, in English)_x000D_
(Import Regulations (Standardization and Quality Control) published in Gazette Extraordinary No.2064/34 of 29 March 2018 and its  as amended  are hereby repealed.)_x000D_
WTO Notifications G/TBT/N/LKA/36  of 28 May  2018   will be repealed and replaced by this notification.                                                     </t>
  </si>
  <si>
    <t>Under the Compulsory Import Inspection Scheme of Sri Lanka operated by Sri Lanka Standards Institution, importers are not permitted to import the specified items to Sri Lanka unless they conform to the relevant Sri Lanka Standards. The list of items specified under this scheme have been revised and the Gazette Extraordinary of the Democratic Socialist Republic of Sri Lanka No. 2384/35 dated 17  May 2024 has been published indicating a total of 161 items.</t>
  </si>
  <si>
    <t>Products covered and HS Codes are given in the Gazette Notification No. 2384/35 of 17 May  2024</t>
  </si>
  <si>
    <d:r xmlns:d="http://schemas.openxmlformats.org/spreadsheetml/2006/main">
      <d:rPr>
        <d:sz val="11"/>
        <d:rFont val="Calibri"/>
      </d:rPr>
      <d:t xml:space="preserve">https://members.wto.org/crnattachments/2024/TBT/LKA/24_04006_00_e.pdf</d:t>
    </d:r>
  </si>
  <si>
    <t>Proyecto de Primera Revisión del Reglamento Técnico Ecuatoriano PRTE 218 (1R) "Equipos de flotación individual"</t>
  </si>
  <si>
    <t xml:space="preserve">El presente reglamento técnico ecuatoriano aplica a los siguientes productos sean estos nacionales o importados que se comercialicen en el Ecuador:_x000D_
Chalecos salvavidas para barcos de alta mar y para nivel de rendimiento 275.Chalecos salvavidas de nivel de rendimiento 150 y 100.Ayudas para flotación (Nivel 50).</t>
  </si>
  <si>
    <t>Cinturones y chalecos salvavidas, de todo tipo de materia textil (Código(s) del SA: 630720)</t>
  </si>
  <si>
    <t>630720 - Life jackets and life belts, of all types of textile materials</t>
  </si>
  <si>
    <t>13.340.70 - Lifejackets, buoyancy aids and flotation devices</t>
  </si>
  <si>
    <d:r xmlns:d="http://schemas.openxmlformats.org/spreadsheetml/2006/main">
      <d:rPr>
        <d:sz val="11"/>
        <d:rFont val="Calibri"/>
      </d:rPr>
      <d:t xml:space="preserve">https://members.wto.org/crnattachments/2024/TBT/ECU/24_04075_00_s.pdf</d:t>
    </d:r>
  </si>
  <si>
    <t>Draft Commission Implementing Regulation amending and correcting Implementing Regulation (EU) 2020/1201 as regards measures to prevent the introduction into and spread within the Union of Xylella fastidiosa (Wells et al.) and amending Implementing Regulation (EU) 2020/1770 as regards the list of plant species not exempted from the traceability code requirement for plant passports</t>
  </si>
  <si>
    <t>The draft Regulation amends Implementing Regulation (EU) 2020/1201.Major points to be highlighted:In Articles 28 and 29, replacement of 80% confidence level and 1% design prevalence for the description of the survey design and sampling scheme, by a sufficient level of confidence to detect a low level of presence of the specified pest;Addition to the list of plants for which specific inspections are required to be introduced into the Union territory the following species: Lavandula angustifolia Mill., Lavandula x intermedia Emeric ex Loisel., Lavandula latifolia Medik., Lavandula stoechas L.and Salvia rosmarinus Spenn;In Article 29 and Article 30, removal of the mention “under the rubric ‘place of origin’” when information is to be provided in the phytosanitary certificate;Update of the list of Xylella fastidiosa host plants, adding to Annex I the following species: Castanea sativa Mill.; Clinopodium nepeta (L.) Kuntze; Cornus sanguinea L.; Grevillea rosmarinifolia A. Cunn.; Lonicera periclymenum L.; Mentha suaveolens Ehrh.; Pyracantha coccinea M. Roem.; Senecio inaequidens DC;Addition of two new tests in part B of Annex IV.</t>
  </si>
  <si>
    <t>Live trees and other plants; Bulbs, roots and the like; Cut flowers and ornamental foliage (HS code(s): 06)</t>
  </si>
  <si>
    <d:r xmlns:d="http://schemas.openxmlformats.org/spreadsheetml/2006/main">
      <d:rPr>
        <d:sz val="11"/>
        <d:rFont val="Calibri"/>
      </d:rPr>
      <d:t xml:space="preserve">https://members.wto.org/crnattachments/2024/SPS/EEC/24_04071_01_e.pdf
https://members.wto.org/crnattachments/2024/SPS/EEC/24_04071_00_e.pdf</d:t>
    </d:r>
  </si>
  <si>
    <t>Draft Commission Implementing Regulation laying down the list of third countries or regions thereof authorised for the entry into the Union of certain animals and products of animal origin intended for human consumption in accordance with Regulation (EU) 2017/625 of the European Parliament and of the Council as regards the application of the prohibition on the use of certain antimicrobial medicinal products (Text with EEA relevance) </t>
  </si>
  <si>
    <t>Article 118 (1) of Regulation (EU) 2019/6 requires third country operators exporting animals or products of animal origin intended for human consumption to the European Union to respect the prohibition on the use of antimicrobial medicinal products for the purpose of promoting growth or to increase yield, and on the use of antimicrobials that have been reserved for the treatment of certain infections in humans.Commission Delegated Regulation (EU) 2023/905 supplements Regulation (EU) 2019/6 as regards the conditions for the entry into the Union of consignments of food-producing animals and products derived therefrom intended for human consumption from third countries or regions thereof.Article 4 (1)(a) of Delegated Regulation (EU) 2023/905 establishes that consignments of animals or products concerned entering the Union from third countries shall originate from a third country or region thereof included in the list of countries referred to in Article 5 of that Regulation.This draft Implementing Regulation lays down the list of approved third countries or regions thereof in accordance with Delegated Regulation (EU) 2023/905.</t>
  </si>
  <si>
    <t>Food-producing animals and products derived therefrom intended for human consumption</t>
  </si>
  <si>
    <d:r xmlns:d="http://schemas.openxmlformats.org/spreadsheetml/2006/main">
      <d:rPr>
        <d:sz val="11"/>
        <d:rFont val="Calibri"/>
      </d:rPr>
      <d:t xml:space="preserve">https://members.wto.org/crnattachments/2024/SPS/EEC/24_04068_00_e.pdf
https://members.wto.org/crnattachments/2024/SPS/EEC/24_04068_01_e.pdf</d:t>
    </d:r>
  </si>
  <si>
    <t>The draft Resolution provides for:-  regulation of administrative proceedings for business entities to obtain confirmation for import into Ukraine of samples of seeds and planting material of plant varieties not listed in the State Register of Plant Varieties  for breeding, research and explosure, and for export from Ukraine of such samples.  This includes ensuring the rights of these business entities to participate in administrative proceedings initiated by the State Service of Ukraine on Food Safety and Consumer Protection upon their request;- granting the Ministry of Agrarian Policy and Food the authority to determine the quantity of seed and planting material samples allowed for import for breeding, research, and exposure purposes.</t>
  </si>
  <si>
    <d:r xmlns:d="http://schemas.openxmlformats.org/spreadsheetml/2006/main">
      <d:rPr>
        <d:sz val="11"/>
        <d:rFont val="Calibri"/>
      </d:rPr>
      <d:t xml:space="preserve">https://members.wto.org/crnattachments/2024/TBT/UKR/24_04074_00_e.pdf
https://members.wto.org/crnattachments/2024/TBT/UKR/24_04074_00_x.pdf
https://minagro.gov.ua/npa/pro-vnesennia-zmin-do-poriadku-vydachi-abo-vidmovy-u-vydachi-pereoformlennia-anuliuvannia-pidtverdzhennia-na-vvezennia-v-ukrainu-ta-vyvezennia-z-ukrainy-zrazkiv-nasinnia-i-sadyvnoho-materialu</d:t>
    </d:r>
  </si>
  <si>
    <t xml:space="preserve">Federal Motor Vehicle Safety Standards; Rear Impact Guards; Rear 
Impact Protection</t>
  </si>
  <si>
    <t xml:space="preserve">This document denies a petition, submitted by Advocates for Highway and Auto Safety, the Truck Safety Coalition, Citizens for Reliable and Safe Highways, and Parents Against Tired Truckers, for reconsideration of a final rule (notified in G/TBT/N/USA/1055/Add.1) amending Federal Motor Vehicle Safety Standard (FMVSS) No. 223, “Rear impact guards,” and FMVSS No. 224, “Rear impact protection.” The final rule, published on 15 July 2022, upgraded NHTSA's standards addressing rear underride protection in crashes of passenger vehicles into trailers and semitrailers by requiring rear impact guards to provide sufficient strength and energy absorption to protect occupants of compact and subcompact passenger cars impacting the rear of trailers at 56 kilometers per hour (km/h) (35 miles per hour (mph)).89 Federal Register (FR) 53505, Title 49 Code of Federal Regulations (CFR) Part 571_x000D_
https://www.govinfo.gov/content/pkg/FR-2024-06-27/html/2024-13957.htm_x000D_
https://www.govinfo.gov/content/pkg/FR-2024-06-27/pdf/2024-13957.pdf_x000D_
This response to petition for reconsideration and the final rule notified in G/TBT/N/USA/1055/Add.1 are identified by Docket Number NHTSA-2022-0053. The Docket Folder is available on Regulations.gov at https://www.regulations.gov/docket/NHTSA-2022-0053/document and provides access to primary and supporting documents as well as comments received. Documents are also accessible from Regulations.gov by searching the Docket Number. _x000D_
</t>
  </si>
  <si>
    <d:r xmlns:d="http://schemas.openxmlformats.org/spreadsheetml/2006/main">
      <d:rPr>
        <d:sz val="11"/>
        <d:rFont val="Calibri"/>
      </d:rPr>
      <d:t xml:space="preserve">https://members.wto.org/crnattachments/2024/TBT/USA/24_04069_00_e.pdf</d:t>
    </d:r>
  </si>
  <si>
    <t>Notice of the Ministry of Agriculture and Rural Affairs of the People’s Republic of China and  the General Administration of Customs of the People’s Republic of China on Supplementing the Entry Plant Quarantine Pests List of China (Draft)</t>
  </si>
  <si>
    <t>Based on the pest riskanalysis, the entry of Amyelois transitella (Walker) and other pests into China will pose a high threat to the agricultural production and ecological environment. In accordance with the Law of China on the Entry and Exit Animal and Plant Quarantine and its implementing regulations, and the relevant ISPM, these 47 pests have been added to the Entry Plant Quarantine Pest List of China. </t>
  </si>
  <si>
    <t>Plants and plant products</t>
  </si>
  <si>
    <d:r xmlns:d="http://schemas.openxmlformats.org/spreadsheetml/2006/main">
      <d:rPr>
        <d:sz val="11"/>
        <d:rFont val="Calibri"/>
      </d:rPr>
      <d:t xml:space="preserve">https://members.wto.org/crnattachments/2024/SPS/CHN/24_04072_00_x.pdf</d:t>
    </d:r>
  </si>
  <si>
    <t>Model Work Health and Safety Regulations (Engineered Stone) Amendment 2024</t>
  </si>
  <si>
    <t>The manufacture, supply, processing and installation of engineered stone slabs, panels, and benchtops will be prohibited in all Australian states and territories from 1 July 2024. Prohibited ‘engineered stone’ will be defined in the legislation as an artificial product that contains 1% or more crystalline silica (determined as a weight/weight (w/w) concentration), is created by combining natural stone materials with other chemical constituents (such as water, resins or pigments) and becomes hardened. However, engineered stone does not include concrete and cement products, bricks, pavers and other similar blocks, ceramic wall and floor tiles, grout, mortar and render, plasterboard, porcelain products, sintered stone and roof tiles. Other engineered stone products are not affected by the prohibition.To have effect, the prohibition will need to be implemented in jurisdictional work health and safety laws. Australia has a harmonised work health and safety system achieved by the adoption in each jurisdiction (other than Victoria) of the model Work Health and Safety laws developed by Safe Work Australia, a tripartite body representing all jurisdictions as well as employer and worker representatives. All jurisdictions other than the state of Victoria have implemented the model laws, and Victoria has similar laws. In this case the model law amendments reflect the agreed national policy to be implemented in each state and territory and the Commonwealth.The Commonwealth government has indicated an intention to introduce an import prohibition to complement the prohibition on use. Timing is still to be determined.</t>
  </si>
  <si>
    <t>The measure will apply to:Engineered stone slabs, panels, and benchtops. Prohibited ‘engineered stone’ will be defined as an artificial product that contains 1% or more crystalline silica (determined as a weight/weight (w/w) concentration), is created by combining natural stone materials with other chemical constituents (such as water, resins or pigments) and becomes hardened. Engineered stone does not include concrete and cement products, bricks, pavers and other similar blocks, ceramic wall and floor tiles, grout, mortar and render, plasterboard, porcelain products, sintered stone and roof tiles. This captures the following HS codes:6802Worked monumental or building stone (except slate) and articles thereof, other than goods of 6801.00.00; mosaic cubes and the like, of natural stone (including slate), whether or not on a backing; artificially coloured granules, chippings and powder, of natural stone (including slate)6802.29.00Other stone6802.99.00: Other stone6810Articles of cement, of concrete or of artificial stone, whether or not reinforced6810.19.00: Other6810.91.00: Prefabricated structural components for building or civil engineering6810.99.00: Other6814Worked mica and articles of mica, including agglomerated or reconstituted mica, whether or not on a support of paper, paperboard or other materials6814.10.00: Plates, sheets and strips of agglomerated or reconstituted mica, whether or not on a support6814.90.00: Other</t>
  </si>
  <si>
    <t>681490 - Worked mica and articles of mica (excl. electrical insulators, insulating fittings, resistors and capacitors, protective goggles of mica and their glasses, mica in the form of Christmas tree decorations, and plates, sheets and strips of agglomerated or reconstituted mica, whether or not on supports); 681410 - Plates, sheets and strips of agglomerated or reconstituted mica, whether or not on a support of paper, paperboard or other materials, in rolls or merely cut into square or rectangular shapes; 681099 - Articles of cement, concrete or artificial stone, whether or not reinforced (excl. prefabricated structural components for building or civil engineering, tiles, paving, bricks and the like); 681091 - Prefabricated structural components for building or civil engineering of cement, concrete or artificial stone, whether or not reinforced; 681019 - Tiles, flagstones, bricks and similar articles, of cement, concrete or artificial stone (excl. building blocks and bricks); 680299 - Monumental or building stone, in any form, polished, decorated or otherwise worked (excl. calcareous stone, granite and slate, tiles, cubes and similar articles of subheading 6802.10, articles of fused basalt, articles of natural steatite, ceramically calcined, imitation jewellery, clocks, lamps and lighting fittings and parts thereof, original sculptures and statuary, setts, curbstones and flagstones); 680229 - Monumental or building stone and articles thereof, simply cut or sawn, with a flat or even surface (excl. marble, travertine, alabaster, granite and slate, those with a completely or partly planed, sand-dressed, coarsely or finely ground or polished surface, tiles, cubes and similar articles of subheading 6802 10 00, setts, curbstones and flagstones)</t>
  </si>
  <si>
    <t>91.100.15 - Mineral materials and products</t>
  </si>
  <si>
    <d:r xmlns:d="http://schemas.openxmlformats.org/spreadsheetml/2006/main">
      <d:rPr>
        <d:sz val="11"/>
        <d:rFont val="Calibri"/>
      </d:rPr>
      <d:t xml:space="preserve">https://members.wto.org/crnattachments/2024/TBT/AUS/24_04073_00_e.pdf
https://www.safeworkaustralia.gov.au/doc/model-whs-regulations</d:t>
    </d:r>
  </si>
  <si>
    <t>DEAS 895: 2024, Fish protein concentrate — Specification, Second EditionNote: This Draft East African Standard was also notified under SPS committee</t>
  </si>
  <si>
    <t>This  Draft  East  African  Standard  specifies  requirements,  sampling  and  test  methods  for  fish  protein concentrate intended for human consumption.</t>
  </si>
  <si>
    <t>Protein concentrates and textured protein substances (HS code(s): 210610); Fish and fishery products (ICS code(s): 67.120.30) Fish protein concentrate</t>
  </si>
  <si>
    <t>210610 - Protein concentrates and textured protein substances</t>
  </si>
  <si>
    <d:r xmlns:d="http://schemas.openxmlformats.org/spreadsheetml/2006/main">
      <d:rPr>
        <d:sz val="11"/>
        <d:rFont val="Calibri"/>
      </d:rPr>
      <d:t xml:space="preserve">https://members.wto.org/crnattachments/2024/TBT/TZA/24_04001_00_e.pdf</d:t>
    </d:r>
  </si>
  <si>
    <t>DEAS 871: 2024, Fish sausages — Specification, Second Edition. Note: This Draft East African Standard was also notified under SPS committee</t>
  </si>
  <si>
    <t xml:space="preserve">This  Draft  East  African  Standard  specifies  requirements,  sampling  and  test  methods  for  fish  sausages intended for human consumption._x000D_
This standard applies to fresh fish sausage, cooked fish sausage, smoked fish sausage, dried fish sausage and fermented fish sausage</t>
  </si>
  <si>
    <t>Prepared or preserved fish (excl. whole or in pieces) (HS code(s): 160420); Fish and fishery products (ICS code(s): 67.120.30) Fish sausages</t>
  </si>
  <si>
    <t>160420 - Prepared or preserved fish (excl. whole or in pieces)</t>
  </si>
  <si>
    <d:r xmlns:d="http://schemas.openxmlformats.org/spreadsheetml/2006/main">
      <d:rPr>
        <d:sz val="11"/>
        <d:rFont val="Calibri"/>
      </d:rPr>
      <d:t xml:space="preserve">https://members.wto.org/crnattachments/2024/TBT/TZA/24_03996_00_e.pdf</d:t>
    </d:r>
  </si>
  <si>
    <t>The Kingdom of Saudi Arabia/The Cooperation Council for the Arab States of the Gulf draft Technical Regulation for General Standard for fruit juices, nectars and drink</t>
  </si>
  <si>
    <t>This draft technical regulation applies to fruit juices and nectars, fresh fruit juice (unpasteurized), fruit drink, dairy fruit drink (smoothie) and concentrated fruit syrup (squash or cordial).</t>
  </si>
  <si>
    <t>Flavoured drink (ICS code: 67.160.20)</t>
  </si>
  <si>
    <d:r xmlns:d="http://schemas.openxmlformats.org/spreadsheetml/2006/main">
      <d:rPr>
        <d:sz val="11"/>
        <d:rFont val="Calibri"/>
      </d:rPr>
      <d:t xml:space="preserve">https://members.wto.org/crnattachments/2024/SPS/SAU/24_04039_00_e.pdf
https://members.wto.org/crnattachments/2024/SPS/SAU/24_04039_00_x.pdf</d:t>
    </d:r>
  </si>
  <si>
    <t>DEAS 1204:2024, Dried fish maws — Specification, First EditionNote: This Draft East African Standard was also notified under SPS committee</t>
  </si>
  <si>
    <t>This draft  East African standard  specifies the requirements,  sampling and test methods for dried fish maws intended for human consumption. </t>
  </si>
  <si>
    <t>Fish heads, tails and maws, smoked, dried, salted or in brine (HS code(s): 030572); Fish and fishery products (ICS code(s): 67.120.30) Dried fish maws</t>
  </si>
  <si>
    <t>030572 - Fish heads, tails and maws, smoked, dried, salted or in brine</t>
  </si>
  <si>
    <d:r xmlns:d="http://schemas.openxmlformats.org/spreadsheetml/2006/main">
      <d:rPr>
        <d:sz val="11"/>
        <d:rFont val="Calibri"/>
      </d:rPr>
      <d:t xml:space="preserve">https://members.wto.org/crnattachments/2024/TBT/TZA/24_04022_00_e.pdf</d:t>
    </d:r>
  </si>
  <si>
    <t>Draft Commission Regulation on the use of bisphenol A (BPA) and other bisphenols and bisphenol derivatives with harmonised classification for specific hazardous properties in certain materials and articles intended to come into contact with food, amending Regulation (EU) No 10/2011 and repealing Regulation (EU) 2018/213 </t>
  </si>
  <si>
    <t>This Regulation prohibits the use of bisphenol A (BPA) in the manufacture of those food contact materials and articles of which it may be a component, including adhesives, rubbers, ion-exchange resins, plastics, printing inks, silicones and varnishes and coatings. Additionally, itallows the use of BPA in the manufacture of two specific food contact applications, by derogation and subject to a prohibition on the migration of BPA from the articles into food;prohibits the residual presence in food contact materials and articles that have been manufactured using bisphenols or bisphenol derivatives;prohibits the use of other bisphenols or bisphenol derivatives for which a harmonised classification of carcinogenic, mutagenic, reprotoxic category 1A or 1B or endocrine disrupting category 1, is listed in annex VI to Regulation (EC)M No 1272/2008 and applies, except where a derogation may be given;lays down rules concerning compliance and testing;sets out transitional periods for the application of the requirements.</t>
  </si>
  <si>
    <t>Food containers and packaging materials insofar as they fall within the scope of the draft Regulation (in particular lacquered metal packaging);HS codes 39 (plastics and articles thereof) and 40 (rubbers and articles thereof) insofar as the materials fall within the scope of the draft Regulation (e.g. 3924 10 00); Prepared foodstuffs insofar as they are packaged in materials and articles within the scope of the draft Regulation.  </t>
  </si>
  <si>
    <t>39 - PLASTICS AND ARTICLES THEREOF; 40 - RUBBER AND ARTICLES THEREOF</t>
  </si>
  <si>
    <t>55.040 - Packaging materials and accessories; 67.230 - Prepackaged and prepared foods; 67.250 - Materials and articles in contact with foodstuffs</t>
  </si>
  <si>
    <d:r xmlns:d="http://schemas.openxmlformats.org/spreadsheetml/2006/main">
      <d:rPr>
        <d:sz val="11"/>
        <d:rFont val="Calibri"/>
      </d:rPr>
      <d:t xml:space="preserve">https://members.wto.org/crnattachments/2024/TBT/EEC/24_04058_00_e.pdf
https://members.wto.org/crnattachments/2024/TBT/EEC/24_04058_01_e.pdf</d:t>
    </d:r>
  </si>
  <si>
    <t xml:space="preserve">Phasedown of Hydrofluorocarbons: Restrictions on the Use of HFCs 
Under the AIM Act in Variable Refrigerant Flow Air Conditioning 
Subsector_x000D_
</t>
  </si>
  <si>
    <t xml:space="preserve">Proposed rule - The U.S. Environmental Protection Agency is proposing to amend 
a provision of the Technology Transitions regulations promulgated under 
the American Innovation and Manufacturing Act. This action allows one 
additional year, until 1 January 2027, solely for the installation of 
new residential and light commercial air conditioning and heat pump 
variable refrigerant flow systems that are 65,000 British thermal units 
per hour or greater using components manufactured in the U.S. or 
imported prior to 1 January 2026. The existing 1 January 2026, 
compliance date for the installation of certain variable refrigerant 
flow systems may result in significant stranded inventory that was 
intended for new construction. EPA is promulgating this action to 
mitigate the potential for significant stranded inventory in this 
subsector.</t>
  </si>
  <si>
    <t>71.080 - Organic chemicals; 13.020 - Environmental protection; 71.020 - Production in the chemical industry; 71.100 - Products of the chemical industry</t>
  </si>
  <si>
    <d:r xmlns:d="http://schemas.openxmlformats.org/spreadsheetml/2006/main">
      <d:rPr>
        <d:sz val="11"/>
        <d:rFont val="Calibri"/>
      </d:rPr>
      <d:t xml:space="preserve">https://members.wto.org/crnattachments/2024/TBT/USA/24_04052_00_e.pdf</d:t>
    </d:r>
  </si>
  <si>
    <t>Proposed amendments to the Standards and Specifications for Food Additives</t>
  </si>
  <si>
    <t xml:space="preserve">The Republic of Korea is proposing to amend the “Standards and Specifications for the Food Additives”:_x000D_
1)   The criteria for recognizing naturally occurring propionic acid and benzoic acid in foods have been expanded to include natural occurrences from animal-derived ingredients;2) The maximum residual amount of sulfites(sodium metabisulfite, potassium metabisulfite, sulfur dioxide, sodium bisulfite, sodium sulfite, sodium hydrosulfite) in the food category ‘other alcoholic beverages made from fruit wine’ has been revised from 0.030 g/kg to 0.20 g/kg as sulfur dioxide;3) The standard for the use of hydroxypropylmethyl cellulose phthalate has been expanded to allow its use in capsules specifically for manufacturing delayed-release health functional foods;4) The standard for the use of propylene glycol has been expanded to allow its use in the food category ‘other foods’;5) The editorial corrections have been made to the maximum use levels of colors used in combination;6) The Korean names of three food additives(maltitol syrup, cyclodextrin syrup, polyglycitol syrup) are changed;7) The synonym of 1 Synthetic flavouring substance is corrected;8) The analytical methods for the following 28 food additives are revised:_x000D_
Biotin, Calcium Caseinate, Calcium Oxide, Choline Bitartrate, Choline Chloride, Enzymatically Modified Stevia, Erythritol, Isomalt, Lactitol, D-Maltitol, Maltitol Syrup, Maltogenic Amylase, D-Mannitol, Polyethylene Glycol, Polyglycerol Esters of Interesterified Ricinoleic Acid, Polyglycitol Syrup, Polysorbate 20, Poly-γ-glutamic acid, Potassium Caseinate, Propionic acid, D-Ribose, Sodium Alginate, Sodium Hypochlorite, Sodium Saccharin, Tea Catechin, Xanthan Gum, Xylitol, Zinc Sulfate.</t>
  </si>
  <si>
    <d:r xmlns:d="http://schemas.openxmlformats.org/spreadsheetml/2006/main">
      <d:rPr>
        <d:sz val="11"/>
        <d:rFont val="Calibri"/>
      </d:rPr>
      <d:t xml:space="preserve">https://members.wto.org/crnattachments/2024/SPS/KOR/24_04055_00_x.pdf</d:t>
    </d:r>
  </si>
  <si>
    <t>SI 60432 part 1 - Incandescent lamps - Safety specifications: Tungsten filament lamps for domestic and similar general lighting purposes</t>
  </si>
  <si>
    <t>Proposed second amendment to the Mandatory Standard SI 60432 part 1. This amendment changes the following:Amends the normative references (Section 2);Deletes the national deviation included in sub-section 2.2.3, dealing with lamps with operating position limitations;Deletes the national Annex A dealing with the calculation of energy efficiency.</t>
  </si>
  <si>
    <t>Incandescent lamps</t>
  </si>
  <si>
    <t>853922 - Filament lamps of a power &lt;= 200 W and for a voltage &gt; 100 V (excl. tungsten halogen filament lamps and ultraviolet or infra-red lamps); 853929 - Filament lamps, electric (excl. tungsten halogen lamps, lamps of a power &lt;= 200 W and for a voltage &gt; 100 V and ultraiolet or infra-red lamps)</t>
  </si>
  <si>
    <t>29.140.20 - Incandescent lamps</t>
  </si>
  <si>
    <t>Protection of human health or safety (TBT); Reducing trade barriers and facilitating trade (TBT)</t>
  </si>
  <si>
    <d:r xmlns:d="http://schemas.openxmlformats.org/spreadsheetml/2006/main">
      <d:rPr>
        <d:sz val="11"/>
        <d:rFont val="Calibri"/>
      </d:rPr>
      <d:t xml:space="preserve">https://members.wto.org/crnattachments/2024/TBT/ISR/24_04061_00_x.pdf</d:t>
    </d:r>
  </si>
  <si>
    <t>DEAS 897: 2024, Frozen lobster tails — Specification, Second EditionNote: This Draft East African Standard was also notified under SPS committee</t>
  </si>
  <si>
    <t>This  Draft East African Standard specifies requirements, sampling and test methods for frozen lobster  tails of all the species of the genera Panulirus, Homarus and Peurulus intended for human consumption</t>
  </si>
  <si>
    <t>Frozen lobsters "Homarus spp.", even smoked, whether in shell or not, incl. lobsters in shell, cooked by steaming or by boiling in water (HS code(s): 030612); Fish and fishery products (ICS code(s): 67.120.30) Frozen lobster tails</t>
  </si>
  <si>
    <t>030612 - Frozen lobsters "Homarus spp.", even smoked, whether in shell or not, incl. lobsters in shell, cooked by steaming or by boiling in water</t>
  </si>
  <si>
    <d:r xmlns:d="http://schemas.openxmlformats.org/spreadsheetml/2006/main">
      <d:rPr>
        <d:sz val="11"/>
        <d:rFont val="Calibri"/>
      </d:rPr>
      <d:t xml:space="preserve">https://members.wto.org/crnattachments/2024/TBT/TZA/24_04007_00_e.pdf</d:t>
    </d:r>
  </si>
  <si>
    <t>DEAS 1201: 2024, Fish flour — Specification, First EditionNote: This Draft East African Standard was also notified under SPS committee</t>
  </si>
  <si>
    <t xml:space="preserve">This draft East African standard specifies requirements, sampling and test methods for fish flour, obtained_x000D_
from all     types of fish intended for  human consumption.</t>
  </si>
  <si>
    <t>Flours, meals and pellets of fish, fit for human consumption (HS code(s): 030910); Fish and fishery products (ICS code(s): 67.120.30) Fish flour </t>
  </si>
  <si>
    <t>030910 - Flours, meals and pellets of fish, fit for human consumption</t>
  </si>
  <si>
    <d:r xmlns:d="http://schemas.openxmlformats.org/spreadsheetml/2006/main">
      <d:rPr>
        <d:sz val="11"/>
        <d:rFont val="Calibri"/>
      </d:rPr>
      <d:t xml:space="preserve">https://members.wto.org/crnattachments/2024/TBT/TZA/24_04012_00_e.pdf</d:t>
    </d:r>
  </si>
  <si>
    <t>DEAS 1203: 2024, Fresh/frozen fish roe -— Specification, First Edition.Note: This Draft East African Standard was also notified under SPS committee</t>
  </si>
  <si>
    <t>This Draft East African Standard specifies the requirements and methods of sampling and test for fresh/frozen fish roe intended for human consumption.</t>
  </si>
  <si>
    <t>Fish livers, roes and milt, dried, smoked, salted or in brine (HS code(s): 030520); Fish and fishery products (ICS code(s): 67.120.30)Fresh/frozen fish roe</t>
  </si>
  <si>
    <t>030520 - Fish livers, roes and milt, dried, smoked, salted or in brine</t>
  </si>
  <si>
    <d:r xmlns:d="http://schemas.openxmlformats.org/spreadsheetml/2006/main">
      <d:rPr>
        <d:sz val="11"/>
        <d:rFont val="Calibri"/>
      </d:rPr>
      <d:t xml:space="preserve">https://members.wto.org/crnattachments/2024/TBT/TZA/24_04017_00_e.pdf</d:t>
    </d:r>
  </si>
  <si>
    <t>Requirements for Additional Traceability Records for Certain Foods; Proposed Exemption for Cottage Cheese Regulated by the National Conference on Interstate Milk Shipments Grade ‘‘A’’ Pasteurized Milk Ordinance; Proposed Exemption</t>
  </si>
  <si>
    <t>The Food and Drug Administration (FDA, the Agency, or we) is proposing to grant an exemption for certain cottage cheese products from the requirements of the Requirements for Additional Traceability Records for Certain Foods rule (the Food Traceability Rule). The Agency is taking this action in accordance with the FDA Food Safety Modernization Act and FDA's implementing regulations.</t>
  </si>
  <si>
    <t>HS Code(s): 1211, 2008, 07, 0406, 0407, 08, 0302, 0303, 0306, 0304, 0305, 0307; ICS Code(s): 67</t>
  </si>
  <si>
    <t>0302 - Fish, fresh or chilled (excl. fish fillets and other fish meat of heading 0304); 0303 - Frozen fish (excl. fish fillets and other fish meat of heading 0304); 0304 - Fish fillets and other fish meat, whether or not minced, fresh, chilled or frozen; 0305 - Fish, fit for human consumption, dried, salted or in brine; smoked fish, fit for human consumption, whether or not cooked before or during the smoking process; flours, meals and pellets of fish, fit for human consumption; 0306 - Crustaceans, whether in shell or not, live, fresh, chilled, frozen, dried, salted or in brine, even smoked, incl. crustaceans in shell cooked by steaming or by boiling in water; flours, meals and pellets of crustaceans, fit for human consumption; 0307 - Molluscs, fit for human consumption, even smoked, whether in shell or not, live, fresh, chilled, frozen, dried, salted or in brine; flours, meals and pellets of molluscs, fit for human consumption; 0406 - Cheese and curd; 0407 - Birds' eggs, in shell, fresh, preserved or cooked; 07 - EDIBLE VEGETABLES AND CERTAIN ROOTS AND TUBERS; 08 - EDIBLE FRUIT AND NUTS; PEEL OF CITRUS FRUIT OR MELONS; 1211 - Plants and parts of plants, incl. seeds and fruits, of a kind used primarily in perfumery, in pharmacy or for insecticidal, fungicidal or similar purposes, fresh, chilled, frozen or dried, whether or not cut, crushed or powdered; 2008 - Fruits, nuts and other edible parts of plants, prepared or preserved, whether or not containing added sugar or other sweetening matter or spirit (excl. prepared or preserved with vinegar, preserved with sugar but not laid in syrup, and jams, fruit jellies, marmalades, fruit purée and pastes, obtained by cooking); 0307 - Molluscs, fit for human consumption, even smoked, whether in shell or not, live, fresh, chilled, frozen, dried, salted or in brine; flours, meals and pellets of molluscs, fit for human consumption; 2008 - Fruits, nuts and other edible parts of plants, prepared or preserved, whether or not containing added sugar or other sweetening matter or spirit (excl. prepared or preserved with vinegar, preserved with sugar but not laid in syrup, and jams, fruit jellies, marmalades, fruit purée and pastes, obtained by cooking); 0305 - Fish, fit for human consumption, dried, salted or in brine; smoked fish, fit for human consumption, whether or not cooked before or during the smoking process; flours, meals and pellets of fish, fit for human consumption; 0407 - Birds' eggs, in shell, fresh, preserved or cooked; 1211 - Plants and parts of plants, incl. seeds and fruits, of a kind used primarily in perfumery, in pharmacy or for insecticidal, fungicidal or similar purposes, fresh, chilled, frozen or dried, whether or not cut, crushed or powdered; 07 - EDIBLE VEGETABLES AND CERTAIN ROOTS AND TUBERS; 0306 - Crustaceans, whether in shell or not, live, fresh, chilled, frozen, dried, salted or in brine, even smoked, incl. crustaceans in shell cooked by steaming or by boiling in water; flours, meals and pellets of crustaceans, fit for human consumption; 0303 - Frozen fish (excl. fish fillets and other fish meat of heading 0304); 0406 - Cheese and curd; 08 - EDIBLE FRUIT AND NUTS; PEEL OF CITRUS FRUIT OR MELONS; 0304 - Fish fillets and other fish meat, whether or not minced, fresh, chilled or frozen; 0302 - Fish, fresh or chilled (excl. fish fillets and other fish meat of heading 0304)</t>
  </si>
  <si>
    <t>Modification of content/scope of regulation; Food safety; Human health; Human health; Food safety</t>
  </si>
  <si>
    <d:r xmlns:d="http://schemas.openxmlformats.org/spreadsheetml/2006/main">
      <d:rPr>
        <d:sz val="11"/>
        <d:rFont val="Calibri"/>
      </d:rPr>
      <d:t xml:space="preserve">https://members.wto.org/crnattachments/2024/SPS/USA/24_04029_00_e.pdf
https://www.federalregister.gov/d/2024-13236</d:t>
    </d:r>
  </si>
  <si>
    <t>Commission Implementing Regulation (EU) 2024/1685 of 17 June 2024 concerning the authorisation of a preparation of glycosylated 1,25-dihydroxycholecalciferol from Solanum glaucophyllum extract as a feed additive for dairy cows (Text with EEA Relevance)</t>
  </si>
  <si>
    <t>Commission Implementing Regulation (EU) 2024/1685 authorizes a preparation of glycosylated 1,25-dihydroxycholecalciferol from Solanum glaucophyllum extract as a feed additive for dairy cows in the category ‘nutritional additives’ and in the functional group ‘vitamins, pro-vitamins and chemically well-defined substances having similar effect’, subject to certain conditions.</t>
  </si>
  <si>
    <d:r xmlns:d="http://schemas.openxmlformats.org/spreadsheetml/2006/main">
      <d:rPr>
        <d:sz val="11"/>
        <d:rFont val="Calibri"/>
      </d:rPr>
      <d:t xml:space="preserve">https://members.wto.org/crnattachments/2024/SPS/EEC/24_04028_00_e.pdf
https://members.wto.org/crnattachments/2024/SPS/EEC/24_04028_00_f.pdf
https://members.wto.org/crnattachments/2024/SPS/EEC/24_04028_00_s.pdf</d:t>
    </d:r>
  </si>
  <si>
    <t>Overview of proposed Partial Revision to the Food Labelling Standards regarding Foods with function claims.</t>
  </si>
  <si>
    <t>To prevent the recurrence of the health damage caused by Foods with function claims like that which occurred at the end of March 2024, when a notifier(food business operators (FBOs) which utilize the Foods with function claims system)  collects information on suspected  health hazards related to their Foods with function claims, the FBOs will be required to provide information to the Commissioner of the Consumer Affairs Agency and prefectural governors, etc. And, to increase the credibility of Foods with function claims system, for dietary supplements among Foods with function claims, the FBOs must control their manufacturing process based on GMP (Good Manufacturing Practice).</t>
  </si>
  <si>
    <t>Foods with function claims</t>
  </si>
  <si>
    <d:r xmlns:d="http://schemas.openxmlformats.org/spreadsheetml/2006/main">
      <d:rPr>
        <d:sz val="11"/>
        <d:rFont val="Calibri"/>
      </d:rPr>
      <d:t xml:space="preserve">https://members.wto.org/crnattachments/2024/TBT/JPN/24_04053_00_e.pdf</d:t>
    </d:r>
  </si>
  <si>
    <t xml:space="preserve">The Republic of Korea is proposing to amend the "Standards and Specifications for the Food Additives"._x000D_
The specifications of Sulfur dioxide and Sulfur have been established.</t>
  </si>
  <si>
    <d:r xmlns:d="http://schemas.openxmlformats.org/spreadsheetml/2006/main">
      <d:rPr>
        <d:sz val="11"/>
        <d:rFont val="Calibri"/>
      </d:rPr>
      <d:t xml:space="preserve">https://members.wto.org/crnattachments/2024/SPS/KOR/24_04054_00_x.pdf</d:t>
    </d:r>
  </si>
  <si>
    <t>Draft Commission Delegated Regulation amending Delegated Regulation (EU) 2019/934 supplementing Regulation (EU) No 1308/2013 of the European Parliament and of the Council as regards authorised oenological practices</t>
  </si>
  <si>
    <t>Commission Delegated Regulation (EU) 2019/934 supplements Regulation (EU) No 1308/2013 as regards rules that are necessary to ensure the proper functioning of the internal market for grapevine products. In particular, it defines in a clear and precise manner the permitted oenological practices including the methods for sweetening wines, the limits on the use of certain substances that may be used for wine-making and the conditions for using some of those substances for wine-making. It also aligns certain provisions with relevant international standards, namely the International Code of Oenological Practices and the International Oenological Codex of the International Organisation of Vine and Wine (OIV), as regards its Annex I Part A.The draft Commission Delegated Regulation amending Delegated Regulation (EU) 2019/934 introduces new oenological practices on the basis of resolutions adopted in 2022 and 2023 by the OIV. It also provides clarifications on, and improves consistency of, some of the existing provisions.Please note that only the provisions related to technical standards, definitions and labelling fall under the scope of the TBT Agreement. Elements pertaining to intellectual property rights, in particular to the application and/or implementation of Geographical Indications (GIs) are included in this notification as part of a legislative package but clearly falling outside the scope of the TBT agreement.</t>
  </si>
  <si>
    <t>Wine products</t>
  </si>
  <si>
    <t>2205 - Vermouth and other wine of fresh grapes, flavoured with plants or aromatic substances; 2204 - Wine of fresh grapes, incl. fortified wines; grape must, partly fermented and of an actual alcoholic strength of &gt; 0,5% vol or grape must with added alcohol of an actual alcoholic strength of &gt; 0,5% vol</t>
  </si>
  <si>
    <t>Prevention of deceptive practices and consumer protection (TBT); Protection of human health or safety (TBT); Quality requirements (TBT); Harmonization (TBT)</t>
  </si>
  <si>
    <d:r xmlns:d="http://schemas.openxmlformats.org/spreadsheetml/2006/main">
      <d:rPr>
        <d:sz val="11"/>
        <d:rFont val="Calibri"/>
      </d:rPr>
      <d:t xml:space="preserve">https://members.wto.org/crnattachments/2024/TBT/EEC/24_04056_00_e.pdf
https://members.wto.org/crnattachments/2024/TBT/EEC/24_04056_01_e.pdf</d:t>
    </d:r>
  </si>
  <si>
    <t>Consultation of RSS-248, Issue 3</t>
  </si>
  <si>
    <t>Notice is hereby given by the Ministry of Innovation, Science and Economic Development Canada that the following consultation has been published:RSS-248, Issue 3, Radio Local Area Network (RLAN) Devices Operating in the 5925-7125 MHz Band, sets out the certification requirements for licence-exempt Radio Local Area Network (RLAN) devices operating in the 5925-7125 MHz frequency band (the 6 GHz band).</t>
  </si>
  <si>
    <t>Radiocommunications (ICS 33.060)</t>
  </si>
  <si>
    <d:r xmlns:d="http://schemas.openxmlformats.org/spreadsheetml/2006/main">
      <d:rPr>
        <d:sz val="11"/>
        <d:rFont val="Calibri"/>
      </d:rPr>
      <d:t xml:space="preserve">RSS-248 (Issue 3) (English) https://www.rabc-cccr.ca/ised-radio-standards-specification-rss-248-issue-3-june-2024-radio-local-area-network-rlan-devices-operating-in-the-5925-7125-mhz-band/  
CNR-248 3e édition
 (Français) https://www.rabc-cccr.ca/fr/isde-cahier-des-charges-sur-les-normes-radioelectriques-cnr-248-3e-edition-juin-2024-dispositifs-de-reseaux-locaux-hertziens-rlan-fonctionnant-dans-la-bande-5-925-a-7-125-mhz/</d:t>
    </d:r>
  </si>
  <si>
    <t>SI 60432 part 2 - Incandescent lamps - Safety specifications: Tungsten halogen lamps for domestic and similar general lighting purposes</t>
  </si>
  <si>
    <t xml:space="preserve">Proposed second amendment to the Mandatory Standard SI 60432 part 2. This amendment changes the following:Amends the normative references (Section 2);Amends the national deviation included in sub-section 2.2, dealing with marking;Deletes the national Annex A dealing with the calculation of energy efficiency._x000D_
</t>
  </si>
  <si>
    <d:r xmlns:d="http://schemas.openxmlformats.org/spreadsheetml/2006/main">
      <d:rPr>
        <d:sz val="11"/>
        <d:rFont val="Calibri"/>
      </d:rPr>
      <d:t xml:space="preserve">https://members.wto.org/crnattachments/2024/TBT/ISR/24_04062_00_x.pdf</d:t>
    </d:r>
  </si>
  <si>
    <t>Commission Delegated Regulation (EU) 2019/934 supplements Regulation (EU) No 1308/2013 as regards rules that are necessary to ensure the proper functioning of the internal market for grapevine products. In particular, it defines in a clear and precise manner the permitted oenological practices including the methods for sweetening wines, the limits on the use of certain substances that may be used for wine-making and the conditions for using some of those substances for wine-making. It also aligns certain provisions with relevant international standards, namely the International Code of Oenological Practices and the International Oenological Codex of the International Organisation of Vine and Wine (OIV), as regards its Annex IA.The draft Commission Delegated Regulation amending Delegated Regulation (EU) 2019/934 introduces new oenological practices on the basis of resolutions adopted in 2022 and 2023 by the OIV. It also provides clarifications on, and improves consistency of, some of the existing provisions.Please note that elements pertaining to intellectual property rights, in particular to the application and/or implementation of Geographical Indications (GIs), are included in this notification as part of a legislative package but clearly fall outside the scope of the SPS Agreement.</t>
  </si>
  <si>
    <d:r xmlns:d="http://schemas.openxmlformats.org/spreadsheetml/2006/main">
      <d:rPr>
        <d:sz val="11"/>
        <d:rFont val="Calibri"/>
      </d:rPr>
      <d:t xml:space="preserve">https://members.wto.org/crnattachments/2024/SPS/EEC/24_04038_01_e.pdf
https://members.wto.org/crnattachments/2024/SPS/EEC/24_04038_00_e.pdf</d:t>
    </d:r>
  </si>
  <si>
    <t>U.S. Grade Standards for Pecans in the Shell and Shelled Pecans</t>
  </si>
  <si>
    <t xml:space="preserve">The Agricultural Marketing Service (AMS) is revising the U.S. Standards for Grades of Pecans in the Shell and the U.S. Standards for Grades of Shelled Pecans by replacing the current grades with U.S. Extra Fancy, U.S. Fancy, U.S. Choice, and U.S. Standard grades. In addition, AMS is updating terminology, definitions, and defect scoring guides.Effective 26 July 2024.89 Federal Register (FR) 53339, Title 7 Code of Federal Regulations (CFR) Part 51_x000D_
https://www.govinfo.gov/content/pkg/FR-2024-06-26/html/2024-13584.htm_x000D_
https://www.govinfo.gov/content/pkg/FR-2024-06-26/pdf/2024-13584.pdfThis final rule and the proposed rule notified as G/TBT/N/USA/1398/Rev.1 are identified by Docket Number AMS-SC-21-0039. The Docket Folder is available on Regulations.gov at https://www.regulations.gov/docket/AMS-SC-21-0039/document and provides access to primary and supporting documents as well as comments received. Documents are also accessible from Regulations.gov by searching the Docket Number. </t>
  </si>
  <si>
    <t>Pecans; Other nuts, fresh or dried, whether or not shelled or peeled (excl. coconuts, Brazil nuts and cashew nuts) (HS code(s): 0802); Fruits. Vegetables (ICS code(s): 67.080)</t>
  </si>
  <si>
    <t>0802 - Other nuts, fresh or dried, whether or not shelled or peeled (excl. coconuts, Brazil nuts and cashew nuts); 0802 - Other nuts, fresh or dried, whether or not shelled or peeled (excl. coconuts, Brazil nuts and cashew nuts)</t>
  </si>
  <si>
    <d:r xmlns:d="http://schemas.openxmlformats.org/spreadsheetml/2006/main">
      <d:rPr>
        <d:sz val="11"/>
        <d:rFont val="Calibri"/>
      </d:rPr>
      <d:t xml:space="preserve">https://members.wto.org/crnattachments/2024/TBT/USA/final_measure/24_04047_00_e.pdf</d:t>
    </d:r>
  </si>
  <si>
    <t>GB lists of susceptible and possible vector species for aquatic animal diseases</t>
  </si>
  <si>
    <t>GB’s lists of aquatic animal species that are susceptible to, or act as vectors for, aquatic animal diseases species are being updated to incorporate species that are listed in the relevant disease chapters of the WOAH Aquatic Animal Health Code as susceptible and vector species.  The relevant aquatic animal diseases are listed in:  a. Commission Regulation (EC) 1251/2008 of 12 December 2008 implementing Council Directive 2006/88/EC as regards conditions and certification requirements for the placing on the market and the import into the Community of aquaculture animals and products thereof and laying down a list of vector species (Assimilated law under the Retained EU Law (Revocation and Reform) Act 2023); and b. The Aquatic Animal Health (England and Wales) Regulations 2009, and the Aquatic Animal Health (Scotland) Regulations 2009.The revised lists can be found here: Importing or moving live fish and shellfish - GOV.UK (www.gov.uk)A shortened implementation period is necessary to secure UK’s biosecurity.</t>
  </si>
  <si>
    <t>Aquatic animals and certain products thereof</t>
  </si>
  <si>
    <t>0307 - Molluscs, fit for human consumption, even smoked, whether in shell or not, live, fresh, chilled, frozen, dried, salted or in brine; 0306 - Crustaceans, whether in shell or not, live, fresh, chilled, frozen, dried, salted or in brine, even smoked, incl. crustaceans in shell cooked by steaming or by boiling in water; 0301 - Live fish</t>
  </si>
  <si>
    <t>DEAS 1201: 2024, Fish flour — Specification, First Edition</t>
  </si>
  <si>
    <t>This draft East African standard specifies requirements, sampling and test methods for fish flour, obtained from all types of fish intended for  human consumption.Note: This Draft East African Standard was also notified under TBT Committee.</t>
  </si>
  <si>
    <t>Flours, meals and pellets of fish, fit for human consumption (HS code(s): 030910); Fish and fishery products (ICS code(s): 67.120.30); Fish flour </t>
  </si>
  <si>
    <d:r xmlns:d="http://schemas.openxmlformats.org/spreadsheetml/2006/main">
      <d:rPr>
        <d:sz val="11"/>
        <d:rFont val="Calibri"/>
      </d:rPr>
      <d:t xml:space="preserve">https://members.wto.org/crnattachments/2024/SPS/TZA/24_03981_00_e.pdf</d:t>
    </d:r>
  </si>
  <si>
    <t>DEAS 895: 2024, Fish protein concentrate — Specification, Second Edition</t>
  </si>
  <si>
    <t>This  Draft  East  African  Standard  specifies  requirements,  sampling  and  test  methods  for  fish  protein concentrate intended for human consumption.Note: This Draft East African Standard was also notified under TBT Committee.</t>
  </si>
  <si>
    <t>Protein concentrates and textured protein substances (HS code(s): 210610); Fish and fishery products (ICS code(s): 67.120.30); Fish protein concentrate</t>
  </si>
  <si>
    <d:r xmlns:d="http://schemas.openxmlformats.org/spreadsheetml/2006/main">
      <d:rPr>
        <d:sz val="11"/>
        <d:rFont val="Calibri"/>
      </d:rPr>
      <d:t xml:space="preserve">https://members.wto.org/crnattachments/2024/SPS/TZA/24_03966_00_e.pdf</d:t>
    </d:r>
  </si>
  <si>
    <t>DEAS 897: 2024, Frozen lobster tails — Specification, Second Edition</t>
  </si>
  <si>
    <t>This  Draft East African Standard specifies requirements, sampling and test methods for frozen lobster  tails of all the species of the genera PanulirusHomarus and Peurulus intended for human consumption.Note: This Draft East African Standard was also notified under TBT Committee.</t>
  </si>
  <si>
    <t>Frozen lobsters "Homarus spp.", even smoked, whether in shell or not, incl. lobsters in shell, cooked by steaming or by boiling in water (HS code(s): 030612); Fish and fishery products (ICS code(s): 67.120. 30); Frozen lobster tails</t>
  </si>
  <si>
    <d:r xmlns:d="http://schemas.openxmlformats.org/spreadsheetml/2006/main">
      <d:rPr>
        <d:sz val="11"/>
        <d:rFont val="Calibri"/>
      </d:rPr>
      <d:t xml:space="preserve">https://members.wto.org/crnattachments/2024/SPS/TZA/24_03976_00_e.pdf</d:t>
    </d:r>
  </si>
  <si>
    <t>DEAS 1203: 2024, Fresh/frozen fish roe -— Specification, First Edition</t>
  </si>
  <si>
    <t>This Draft East African Standard specifies the requirements and methods of sampling and test for fresh/frozen fish roe intended for human consumption.Note: This Draft East African Standard was also notified under TBT Committee.</t>
  </si>
  <si>
    <t>Fish livers, roes and milt, dried, smoked, salted or in brine (HS code(s): 030520); Fish and fishery products (ICS code(s): 67.120.30); Fresh/frozen fish roe</t>
  </si>
  <si>
    <d:r xmlns:d="http://schemas.openxmlformats.org/spreadsheetml/2006/main">
      <d:rPr>
        <d:sz val="11"/>
        <d:rFont val="Calibri"/>
      </d:rPr>
      <d:t xml:space="preserve">https://members.wto.org/crnattachments/2024/SPS/TZA/24_03986_00_e.pdf</d:t>
    </d:r>
  </si>
  <si>
    <t>Regulations Amending the Energy Efficiency Regulations, 2016 (Amendment 18)(146 pages, available in English and French)</t>
  </si>
  <si>
    <t>The Energy Efficiency Regulations, 2016 (the Regulations) prescribe energy efficiency standards for residential, commercial and industrial energy-using products. They also prescribe labelling requirements for certain products to disclose and compare the energy use of a given product model relative to others in their category. The Regulations are amended regularly to introduce or update energy efficiency and testing standards. This proposed Amendment would add or update energy efficiency and testing standards for several newly and currently regulated energy-using products to harmonize with the United States. Also, this Amendment would expand the use of ambulatory incorporation by reference (to U.S. standards or NRCan technical standards documents), as well as position NRCan to exercise Ministerial Regulations for more energy-using products to adjust quickly to changes and maintain harmonization in the future, where appropriate. Furthermore, the Amendment would include transitional provisions for specific products during which regulated parties would have the opportunity, on a voluntary basis, to comply more quickly with the new requirements (voluntary early compliance). Finally, the Amendment would introduce more stringent energy efficiency standards than in the United States for some products to assist with achieving net-zero by 2050.</t>
  </si>
  <si>
    <t>Energy efficiency standards forresidential, commercial and industrial products: Air compressors  HS code 8414.80 ; Faucets HS code 8481.80 ; Line Voltage thermostats HS code 9032.10 ; Pool pumps HS code 8413.70 ; Showerheads HS code 8424.90 ; Room air conditioners HS code 8415.10; Large air conditioners HS code 8415.90 ; Single package central air conditioners HS code 8415.90 ; Split system central air conditioners HS code 8415.90; Portable air conditioners HS code 8415.82; Large heat pumps HS code 8418.61; Single package central heat pumps HS code 8418.61; Split system central heat pumps HS code 8418.61; Gas furnaces HS code 7321.81; Electric water heaters HS code 8516.10; Gas-fired storage water heaters HS code 8419.19; Oil-fired water heaters HS code 8419.19; Gas-fired instantaneous water heaters HS code 8419.11; General service lamps HS codes 8539.10, 8539.22, 8539.29, 8539.21, 8539.31, 8539.32, 8539.39, 8539.41, 8539.49, 8539.50, 8539.90.</t>
  </si>
  <si>
    <t>903210 - Thermostats; 841480 - Air pumps, air or other gas compressors and ventilating or recycling hoods incorporating a fan, whether or not fitted with filters, having a maximum horizontal side &gt; 120 cm (excl. vacuum pumps, hand- or foot-operated air pumps, compressors for refrigerating equipment and air compressors mounted on a wheeled chassis for towing); 841510 - Air conditioning machines designed to be fixed to a window, wall, ceiling or floor, self-contained or "split-system"; 841582 - Air conditioning machines incorporating a refrigerating unit but without a valve for reversal of the cooling-heat cycle (excl. of a kind used for persons in motor vehicles, and self-contained or "split-system" window or wall air conditioning machines); 841590 - Parts of air conditioning machines, comprising a motor-driven fan and elements for changing the temperature and humidity, n.e.s.; 841861 - Heat pumps (excl. air conditioning machines of heading 8415); 841911 - Instantaneous gas water heaters (excl. boilers or water heaters for central heating); 841919 - Instantaneous or storage water heaters, non-electric (excl. instantaneous gas water heaters, solar water heaters and boilers or water heaters for central heating); 842490 - Parts of fire extinguishers, spray guns and similar appliances, steam or sand blasting machines and similar jet projecting machines and machinery and apparatus for projecting, dispersing or spraying liquids or powders, n.e.s.; 848180 - Appliances for pipes, boiler shells, tanks, vats or the like (excl. pressure-reducing valves, valves for the control of pneumatic power transmission, check "non-return" valves and safety or relief valves); 851610 - Electric instantaneous or storage water heaters and immersion heaters; 853921 - Tungsten halogen filament lamps (excl. sealed beam lamp units); 853931 - Discharge lamps, fluorescent, hot cathode; 853932 - Mercury or sodium vapour lamps; metal halide lamps; 853939 - Discharge lamps (excl. hot-cathode fluorescent lamps, mercury or sodium vapour lamps, metal halide lamps and ultraviolet lamps); 853941 - Arc lamps; 853949 - Ultraviolet or infra-red lamps; 853990 - Parts of electric filament or discharge lamps, sealed beam lamp units, ultraviolet or infra-red lamps, arc lamps and LED light sources, n.e.s.; 841370 - Centrifugal pumps, power-driven (excl. those of subheading 8413.11 and 8413.19, fuel, lubricating or cooling medium pumps for internal combustion piston engine and concrete pumps); 732181 - 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</si>
  <si>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23.080 - Pumps; 23.120 - Ventilators. Fans. Air-conditioners; 23.140 - Compressors and pneumatic machines; 25.180.20 - Fuel furnaces; 27.080 - Heat pumps; 29.140 - Lamps and related equipment; 91.140.65 - Water heating equipment; 97.100.10 - Electric heaters</t>
  </si>
  <si>
    <d:r xmlns:d="http://schemas.openxmlformats.org/spreadsheetml/2006/main">
      <d:rPr>
        <d:sz val="11"/>
        <d:rFont val="Calibri"/>
      </d:rPr>
      <d:t xml:space="preserve">https://canadagazette.gc.ca/rp-pr/p1/2024/2024-06-22/html/reg1-eng.html (English)
https://canadagazette.gc.ca/rp-pr/p1/2024/2024-06-22/html/reg1-fra.html (Français)
</d:t>
    </d:r>
  </si>
  <si>
    <t>DEAS 1204:2024, Dried fish maws — Specification, First Edition</t>
  </si>
  <si>
    <t>This draft  East African standard  specifies the requirements,  sampling and test methods for dried fish maws intended for human consumption. Note: This Draft East African Standard was also notified under TBT Committee.</t>
  </si>
  <si>
    <t>Fish heads, tails and maws, smoked, dried, salted or in brine (HS code(s): 030572); Fish and fishery products (ICS code(s): 67.120.30); Dried fish maws</t>
  </si>
  <si>
    <d:r xmlns:d="http://schemas.openxmlformats.org/spreadsheetml/2006/main">
      <d:rPr>
        <d:sz val="11"/>
        <d:rFont val="Calibri"/>
      </d:rPr>
      <d:t xml:space="preserve">https://members.wto.org/crnattachments/2024/SPS/TZA/24_03991_00_e.pdf</d:t>
    </d:r>
  </si>
  <si>
    <t>CONSULTA PÚBLICA PARA LA MODIFICACIÓN DEL REGLAMENTO SANITARIO DE LOS ALIMENTOS, DECRETO SUPREMO N° 977/96 DEL MINISTERIO DE SALUD INTRODUCE NUEVO ARTÍCULO 120 TER.</t>
  </si>
  <si>
    <t>En atención a la reciente evidencia presentada por la Organización Mundial de la Salud (OMS) sobre los efectos negativos del consumo de edulcorantes, así como a los datos nacionales que muestran el elevado consumo por parte de la población infantil, el Ministerio de Salud (MINSAL) considera imperativo que madres, padres y cuidadores de niñas y niños cuenten con la información necesaria para tomar decisiones informadas sobre el consumo de estos productos. Por ello, el MINSAL ha considerado necesario desarrollar en la regulación nacional, una leyenda precautoria en el etiquetado frontal de los alimentos que contengan tales sustancias.Atendiendo al principio precautorio, se plantea regular con un mensaje obligatorio en la etiqueta de aquellos productos que contengan edulcorantes, una leyenda del siguiente tenor: “CONTIENE EDULCORANTES. EVITE CONSUMO EN NIÑOS”.El Ministerio de Salud invita a participar en esta consulta pública para recoger opiniones y sugerencias que contribuyan a la mejora de esta iniciativa regulatoria, con el objetivo de proteger la salud de nuestra población, en especial la de las niñas y niños.</t>
  </si>
  <si>
    <t>Alimentos envasados que contengan edulcorantes y que puedan ser consumido por población infantil.</t>
  </si>
  <si>
    <d:r xmlns:d="http://schemas.openxmlformats.org/spreadsheetml/2006/main">
      <d:rPr>
        <d:sz val="11"/>
        <d:rFont val="Calibri"/>
      </d:rPr>
      <d:t xml:space="preserve">https://members.wto.org/crnattachments/2024/TBT/CHL/24_03961_00_s.pdf</d:t>
    </d:r>
  </si>
  <si>
    <t>Partial amendment to the Minimum Requirements for Biological ProductsPartial amendment to The Public Notice on National Release Testing.</t>
  </si>
  <si>
    <t>The Minimum Requirements for Biological Products will be amended as follows:Regarding the standard for “Freeze-dried Live Attenuated Rubella Vaccine” and “Freeze-dried Live Attenuated Measles-Rubella Combined Vaccine”, the requirements in case of using human diploid cells will be added.The Public Notice on National Release Testing will be amended as follows: The criterion for “Freeze-dried Live Attenuated Rubella Vaccine” and “Freeze-dried Live Attenuated Measles-Rubella Combined Vaccine” will be partially amended. </t>
  </si>
  <si>
    <t>Pharmaceutical products (HS: 30)</t>
  </si>
  <si>
    <t>30 - PHARMACEUTICAL PRODUCTS</t>
  </si>
  <si>
    <d:r xmlns:d="http://schemas.openxmlformats.org/spreadsheetml/2006/main">
      <d:rPr>
        <d:sz val="11"/>
        <d:rFont val="Calibri"/>
      </d:rPr>
      <d:t xml:space="preserve">https://members.wto.org/crnattachments/2024/TBT/JPN/24_03956_00_e.pdf</d:t>
    </d:r>
  </si>
  <si>
    <t>Draft Commission Regulation on the use of bisphenol A (BPA) and other bisphenols and bisphenol derivatives with harmonised classification for specific hazardous properties in certain materials and articles intended to come into contact with food, amending Regulation (EU) No 10/2011 and repealing Regulation (EU) 2018/213 (Text with EEA relevance)</t>
  </si>
  <si>
    <t>This Regulation prohibits the use of bisphenol A (BPA) in the manufacture of those food contact materials and articles of which it may be a component, including adhesives, rubbers, ion-exchange resins, plastics, printing inks, silicones and varnishes and coatings. Additionally, it:allows the use of BPA in the manufacture of two specific food contact applications, by derogation and subject to a prohibition on the migration of BPA from the articles into food;prohibits the residual presence in food contact materials and articles that have been manufactured using bisphenols or bisphenol derivatives;prohibits the use of other bisphenols or bisphenol derivatives for which a harmonised classification of carcinogenic, mutagenic, reprotoxic category 1A or 1B or endocrine disrupting category 1, is listed in annex VI to Regulation (EC)M No 1272/2008 and applies, except where a derogation may be given;lays down rules concerning compliance and testing;sets out transitional periods for the application of the requirements.This draft Commission Regulation will also be notified under the TBT Agreement.</t>
  </si>
  <si>
    <t>Food containers and packaging materials insofar as they fall within the scope of the draft Regulation (in particular lacquered metal packaging); HS codes 39 (plastics and articles thereof) and 40 (rubbers and articles thereof) insofar as the materials fall within the scope of the draft Regulation (e.g. 3924 10 00); Prepared foodstuffs insofar as they are packaged in materials and articles within the scope of the draft Regulation</t>
  </si>
  <si>
    <d:r xmlns:d="http://schemas.openxmlformats.org/spreadsheetml/2006/main">
      <d:rPr>
        <d:sz val="11"/>
        <d:rFont val="Calibri"/>
      </d:rPr>
      <d:t xml:space="preserve">https://members.wto.org/crnattachments/2024/SPS/EEC/24_03965_00_e.pdf
https://members.wto.org/crnattachments/2024/SPS/EEC/24_03965_01_e.pdf</d:t>
    </d:r>
  </si>
  <si>
    <t>Draft Commission Regulation (EU) amending Annexes II and III to Regulation (EC) No 396/2005 of the European Parliament and of the Council as regards maximum residue levels for zoxamide in or on certain products (Text with EEA Relevance)</t>
  </si>
  <si>
    <t>The proposed draft Regulation concerns the update of existing MRLs for zoxamide in certain food products.The European Food Safety Authority (‘the Authority’) submitted a reasoned opinion on the review of the existing MRLs for that active substance in accordance with Article 12(1) of Regulation (EC) No 396/2005 and setting of an import tolerance for onions, garlic and shallots.MRLs for zoxamide in certain commodities are changed based on this reasoned opinion. Codex MRLs are maintained and MRLs for certain commodities are lowered. Lower MRLs are set after deleting old uses which are not authorized any more in the European Union and for which a human health concern may not be excluded.</t>
  </si>
  <si>
    <t>10 - CEREALS; 02 - MEAT AND EDIBLE MEAT OFFAL; 0201 - Meat of bovine animals, fresh or chilled; 1006 - Rice; 1005 - Maize or corn; 1004 - Oats; 1003 - Barley; 1002 - Rye; 1001 - Wheat and meslin; 0210 - Meat and edible offal, salted, in brine, dried or smoked; edible flours and meals of meat or meat offal;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1007 - Grain sorghum; 1008 - Buckwheat, millet, canary seed and other cereals (excl. wheat and meslin, rye, barley, oats, maize, rice and grain sorghum)</t>
  </si>
  <si>
    <d:r xmlns:d="http://schemas.openxmlformats.org/spreadsheetml/2006/main">
      <d:rPr>
        <d:sz val="11"/>
        <d:rFont val="Calibri"/>
      </d:rPr>
      <d:t xml:space="preserve">https://members.wto.org/crnattachments/2024/SPS/EEC/24_04027_00_e.pdf
https://members.wto.org/crnattachments/2024/SPS/EEC/24_04027_01_e.pdf
https://members.wto.org/crnattachments/2024/SPS/EEC/24_04027_02_e.pdf</d:t>
    </d:r>
  </si>
  <si>
    <t>PROYECTO DE PROTOCOLO DE ANÁLISIS Y/O ENSAYOS DE SEGURIDAD DE PRODUCTO DE COMBUSTIBLES LÍQUIDOS. </t>
  </si>
  <si>
    <t>El presente protocolo establece el procedimiento de certificación para los generadores eléctricos o grupos electrógenos que funcionan con combustibles líquidos, de acuerdo con el alcance y campo de aplicación de la norma UNE-EN ISO 8528-13:2017, y lo señalado a continuación.</t>
  </si>
  <si>
    <t>Generadores eléctricos o grupos electrógenos y motosoldadoras que funcionan con combustibles líquidos.</t>
  </si>
  <si>
    <t>29.160.20 - Generators; 29.160.40 - Generating sets</t>
  </si>
  <si>
    <d:r xmlns:d="http://schemas.openxmlformats.org/spreadsheetml/2006/main">
      <d:rPr>
        <d:sz val="11"/>
        <d:rFont val="Calibri"/>
      </d:rPr>
      <d:t xml:space="preserve">https://members.wto.org/crnattachments/2024/TBT/CHL/24_03963_00_s.pdf</d:t>
    </d:r>
  </si>
  <si>
    <t>Resolución Exenta No 3.885/2024, verifica cumplimiento del proceso de certificación fitosanitaria para la exportación de frutos frescos de Musa spp. (plátano/banana), desde Costa Rica a Chile, conforme a la Resolución SAG No 146 de 2022</t>
  </si>
  <si>
    <t>La medida notificada verifica el cumplimiento de certificación fitosanitaria para la exportación de frutos frescos de Musa spp. (plátano), desde Costa Rica a Chile. Lo anterior, considerando que el proceso de certificación fitosanitaria que Costa Rica, supervisado por el Servicio Fitosanitario del Estado (SFE), cumple con las características para el programa de exportación a Chile y también permite el cumplimiento de la Resolución SAG No 146 de 2022, que establece requisitos fitosanitarios para la importación a Chile de frutos frescos de plátano.Para mayor detalle, revisar el documento adjunto a esta notificación.</t>
  </si>
  <si>
    <t>Musa spp. (plátano/ banana)</t>
  </si>
  <si>
    <t>080390 - Fresh or dried bananas (excl. plantains); 080310 - Fresh or dried plantains</t>
  </si>
  <si>
    <t>Plant health; Plant diseases</t>
  </si>
  <si>
    <d:r xmlns:d="http://schemas.openxmlformats.org/spreadsheetml/2006/main">
      <d:rPr>
        <d:sz val="11"/>
        <d:rFont val="Calibri"/>
      </d:rPr>
      <d:t xml:space="preserve">https://members.wto.org/crnattachments/2024/SPS/CHL/24_03960_00_s.pdf
https://members.wto.org/crnattachments/2024/SPS/CHL/24_03960_01_s.pdf</d:t>
    </d:r>
  </si>
  <si>
    <t>Key Amendments to the Mandatory Energy Labelling Scheme (MELS) and Minimum Energy Performance Standards (MEPS) Requirements under the Energy Conservation Act (ECA)</t>
  </si>
  <si>
    <t>Singapore's Mandatory Energy Labelling Scheme (MELS) and Minimum Energy Performance Standards (MEPS), implemented in 2008 and 2011 respectively, are policy measures to raise the average energy efficiency of regulated goods used in Singapore. In line with this objective, MELS and MEPS will be extended to all water heaters and commercial storage refrigerators from 1 April 2025. </t>
  </si>
  <si>
    <t>Water heaters (HS: 8516.10.19, HS: 8419.11.10)Commercial storage refrigerators (HS: 8418)</t>
  </si>
  <si>
    <t>8418 - Refrigerators, freezers and other refrigerating or freezing equipment, electric or other; heat pumps; parts thereof (excl. air conditioning machines of heading 8415); 851610 - Electric instantaneous or storage water heaters and immersion heaters; 841911 - Instantaneous gas water heaters (excl. boilers or water heaters for central heating)</t>
  </si>
  <si>
    <t>91.140.65 - Water heating equipment; 97.040.30 - Domestic refrigerating appliances; 97.100.10 - Electric heaters; 97.130.20 - Commercial refrigerating appliances</t>
  </si>
  <si>
    <d:r xmlns:d="http://schemas.openxmlformats.org/spreadsheetml/2006/main">
      <d:rPr>
        <d:sz val="11"/>
        <d:rFont val="Calibri"/>
      </d:rPr>
      <d:t xml:space="preserve">https://www.nea.gov.sg/docs/default-source/our-services/energy-efficiency/household-sector/circular-key-amendments-to-the-mels-and-meps-requirements-under-the-energy-conservation-act.pdf</d:t>
    </d:r>
  </si>
  <si>
    <t>Regulations Amending the Pest Control Products Regulations (Strengthening the Regulation of Pest Control Products in Canada)</t>
  </si>
  <si>
    <t>Health Canada is proposing amendments to the Pest Control Products Regulations in response to the spring 2022 consultations on the targeted review of the Pest Control Products Act (PCPA). The proposed amendments would:make it easier to access confidential test data (CTD) for research and re-analysis purposes;increase transparency for maximum residue limit (MRL) applications for imported food products;give the Minister of Health the explicit authority to require submission of information on cumulative effects on the environment (CEE);require the Minister of Health to consider CEE during risk assessments where information and methodology are available; andstrengthen consideration of species at risk (SAR) by giving the Minister of Health the explicit authority to require registrants and applicants to submit information on species at risk.The proposed amendments were pre-published on June 15, 2024, and are open to comments for 70 days.</t>
  </si>
  <si>
    <t>Pest Control Products, HS 3808, (ICS: 65.100)</t>
  </si>
  <si>
    <t>3808 - Insecticides, rodenticides, fungicides, herbicides, anti-sprouting products and plant-growth regulators, disinfectants and similar products, put up for retail sale or as preparations or articles, e.g. sulphur-treated bands, wicks and candles, and fly-papers</t>
  </si>
  <si>
    <d:r xmlns:d="http://schemas.openxmlformats.org/spreadsheetml/2006/main">
      <d:rPr>
        <d:sz val="11"/>
        <d:rFont val="Calibri"/>
      </d:rPr>
      <d:t xml:space="preserve">https://canadagazette.gc.ca/rp-pr/p1/2024/2024-06-15/html/reg2-eng.html (English)
https://canadagazette.gc.ca/rp-pr/p1/2024/2024-06-15/html/reg2-fra.html (French)</d:t>
    </d:r>
  </si>
  <si>
    <t>DEAS 871: 2024, Fish sausages — Specification, Second Edition</t>
  </si>
  <si>
    <t xml:space="preserve">This  Draft  East  African  Standard  specifies  requirements,  sampling  and  test  methods  for  fish  sausages intended for human consumption._x000D_
This standard applies to fresh fish sausage, cooked fish sausage, smoked fish sausage, dried fish sausage and fermented fish sausage.Note: This Draft East African Standard was also notified under TBT Committee.</t>
  </si>
  <si>
    <t>Prepared or preserved fish (excl. whole or in pieces) (HS code(s): 160420); Fish and fishery products (ICS code(s): 67.120.30); Fish sausages</t>
  </si>
  <si>
    <d:r xmlns:d="http://schemas.openxmlformats.org/spreadsheetml/2006/main">
      <d:rPr>
        <d:sz val="11"/>
        <d:rFont val="Calibri"/>
      </d:rPr>
      <d:t xml:space="preserve">https://members.wto.org/crnattachments/2024/SPS/TZA/24_03971_00_e.pdf</d:t>
    </d:r>
  </si>
  <si>
    <t>PROYECTO DE PROTOCOLO DE ANÁLISIS Y/O ENSAYOS DE SEGURIDAD DE PRODUCTO DE COMBUSTIBLES LÍQUIDOS</t>
  </si>
  <si>
    <t>El presente protocolo establece el procedimiento de certificación para las sierras de cadenas portátiles que utilizan motores de combustión interna a combustibles líquidos, de acuerdo al alcance y campo de aplicación de la norma española UNE-EN ISO 11681-2:2012 - Sierras de cadena para la poda de árboles.</t>
  </si>
  <si>
    <t>Sierras de cadenas portátiles que utilizan motores de combustión interna a combustibles líquidos.</t>
  </si>
  <si>
    <t>846781 - Chainsaws for working in the hand, with self-contained non-electric motor</t>
  </si>
  <si>
    <t>25.100.40 - Saws</t>
  </si>
  <si>
    <d:r xmlns:d="http://schemas.openxmlformats.org/spreadsheetml/2006/main">
      <d:rPr>
        <d:sz val="11"/>
        <d:rFont val="Calibri"/>
      </d:rPr>
      <d:t xml:space="preserve">https://members.wto.org/crnattachments/2024/TBT/CHL/24_03964_00_s.pdf</d:t>
    </d:r>
  </si>
  <si>
    <t>Draft resolution 1268, 20 June 2024</t>
  </si>
  <si>
    <t>This draft resolution proposes the establishment of technological functions, maximum limits and conditions of use for food additives and technology aids authorized for use in foods.This regulation will be also notified to the SPS Committee</t>
  </si>
  <si>
    <d:r xmlns:d="http://schemas.openxmlformats.org/spreadsheetml/2006/main">
      <d:rPr>
        <d:sz val="11"/>
        <d:rFont val="Calibri"/>
      </d:rPr>
      <d:t xml:space="preserve">https://members.wto.org/crnattachments/2024/TBT/BRA/24_03934_00_x.pdf
Draft: http://antigo.anvisa.gov.br/documents/10181/6773325/CONSULTA+P%C3%9ABLICA+N%C2%BA+1268+GGALI.pdf/d1b396bc-dcc1-49cb-99b8-698d38d54974
</d:t>
    </d:r>
  </si>
  <si>
    <t>Resolution - RDC number 708, 01 July 2022</t>
  </si>
  <si>
    <t>Resolution - RDC number 708, 01 July 2022 - previously notified through  G/TBT/N/BRA/1410  - which contains provisions on post - approval changes of herbal medicines and traditional herbal products, was changed by Resolution 882, 14 June 2024The final text is available only in Portuguese and can be downloaded at: http://antigo.anvisa.gov.br/documents/10181/6354796/RDC_882_2024_.pdf/f26f6e81-3ea2-41ab-8d6c-04f9808b5238</t>
  </si>
  <si>
    <t>Medicaments (excluding goods of heading 30.02, 30.05 or 30.06) consisting of two or more constituents which have been mixed together for therapeutic or prophylactic uses, not put up in measured doses or in forms or packings for retail sale. (HS code(s): 3003); Medicaments (excluding goods of heading 30.02, 30.05 or 30.06) consisting of mixed or unmixed products for therapeutic or prophylactic uses, put up in measured doses (including those in the form of transdermal administration systems) or in forms or packings for retail sale. (HS code(s): 3004)</t>
  </si>
  <si>
    <t>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 3003 - Medicaments consisting of two or more constituents mixed together for therapeutic or prophylactic uses, not in measured doses or put up for retail sale (excl. goods of heading 3002, 3005 or 3006)</t>
  </si>
  <si>
    <d:r xmlns:d="http://schemas.openxmlformats.org/spreadsheetml/2006/main">
      <d:rPr>
        <d:sz val="11"/>
        <d:rFont val="Calibri"/>
      </d:rPr>
      <d:t xml:space="preserve">https://members.wto.org/crnattachments/2024/TBT/BRA/modification/24_03935_00_x.pdf</d:t>
    </d:r>
  </si>
  <si>
    <t>Commission Implementing Regulation (EU) 2024/1662 of 11 June 2024 amending Implementing Regulation (EU) 2019/1793 on the temporary increase of official controls and emergency measures governing the entry into the Union of certain goods from certain third countries implementing Regulations (EU) 2017/625 and (EC) No 178/2002 of the European Parliament and of the Council</t>
  </si>
  <si>
    <t>G/SPS/N/EU/772 contains a typo. In Item 6, "yearlong beans" should read "yardlong beans".6.Description of content: Regulation (EU) 2019/1793 lays down rules concerning the temporary increase of official controls upon entry into the Union on certain food and feed of non-animal origin from certain third countries (in Annex I); special import conditions for certain food and feed from certain third countries due to the contamination risk by mycotoxins, including aflatoxins, pesticide residues, pentachlorophenol and dioxins and microbiological contamination (in Annex II - increased official border controls and official certificate accompanied by the results of sampling and analysis in the third country).               This Implementing Regulation amends Annexes I and II to Implementing Regulation (EU) 2019/1793 by introducing the following changes:•     Inclusion in Annex I of eggplants (Solanum aethiopicum) from Burkina Faso due to risk of contamination by pesticide residues;•     Delisting from Annex I (and thus, from the Regulation) of Brazil nuts in shell and mixtures of Brazil nuts or dried fruits containing Brazil nuts in Shell from Brazil, groundnuts and products produced from groundnuts from Brazil, groundnuts and products produced from groundnuts from The Gambia, locust beans (carob), locust beans seeds, not decorticated, crushed or ground and mucilages and thickeners, whether or not modified, derived from locust beans or locust beans seeds from India and guar gum from India, instant noodles containing spices/seasonings or sauces from South Korea, peppers of genus Capsicum (other than sweet) from Pakistan, groundnuts and products produced from groundnuts from Sudan, locust beans (carob), locust beans seeds, not decorticated, crushed or ground and mucilages and thickeners, whether or not modified, derived from locust beans or locust beans seeds from Türkiye and instant noodles containing spices/seasonings or sauces from Viet Nam;•     Decrease in the frequency of identity and physical checks laid down in Annex I for hazelnuts and products produced from hazelnuts from Georgia (aflatoxins – 20%), spice mixes from Pakistan (aflatoxins – 30%) and grapefruits from Türkiye pesticide residues – 20%);•     Increase in the frequency of identity and physical checks laid down in Annex I for betel leaves (Piper betle L.) from India (Salmonella – 50%) and drumsticks (Moringa oleifera) from India (pesticide residues – 30%);•     Removal from Annex I and inclusion in Annex II of Gotukola (Centella asiatica) from Sri Lanka (pesticide residues – 50%) and peppers of the genus Capsicum (other than sweet) from Viet Nam (pesticide residues – 50%);•     Removal from Annex II and inclusion in Annex I of yardlong beans from Dominican Republic (pesticide residues – 30%), groundnuts and products produced from groundnuts from Ghana (aflatoxins – 50%), mixtures of food additives containing locust bean gum or guar gum, vanilla and cloves (whole fruit, cloves and stems) from India (ethylene oxide – 20%), mixtures of food additives containing locust bean gum from Malaysia (ethylene oxide – 30%) and mixtures of food additives containing locyst bean gum from Türkiye (ethylene oxide – 30%);•     Increase in the frequency of identity and physical checks laid down in Annex II for nutmeg (Myristica fragrans) from Indonesia (aflatoxins – 50%), nutmeg, mace and cardamon from India (ethylene oxide – 30%), sesamum seeds from Uganda (Salmonella – 30%) and pitahaya (dragon fruit) from Viet Nam (pesticide residues – 30%);•          Decrease in the frequency of identity and physical checks laid down in Annex II for pepper of the genus Piper, dried or crushed or ground fruit of the Capsicum or of the genus Pimenta and ginger, saffron, turmeric (curcuma), thyme, bay leaves, curry and other spices from Ethiopia (aflatoxins – 30%), dried figs and products produced from dried figs from Türkiye (aflatoxins – 20%), pistachios and products produced from pistachios from Türkiye (aflatoxins – 30%) and pistachios and derived products originating in the United States and dispatched to the Union from Türkiye (aflatoxins – 30%).</t>
  </si>
  <si>
    <t>Contaminants; Human health; Food safety; Toxins; Aflatoxins; Mycotoxins; Dioxins; Food safety; Human health; Contaminants; Toxins; Aflatoxins; Mycotoxins; Dioxins</t>
  </si>
  <si>
    <t>Import health standard 155.02.06: Importation of Nursery Stock </t>
  </si>
  <si>
    <t>This standard describes the import specifications and entry conditions for nursery stock (whole plants, cuttings, bulbs and tissue culture) imported into New Zealand.MPI is proposing the following changes to the Importation of Nursery Stock import health standard: Addition of phytosanitary measures for the management of alstroemeria necrotic streak virus and tomato chlorotic spot virus on Hoya plant hosts. Measures include options for off-shore and on-shore management;Removal of the measures for hoya undetermined tobamoviruses on Hoya plant hosts.</t>
  </si>
  <si>
    <t>Nursery stock (whole plants, cuttings and tissue cultures) eligible for import to New Zealand of the Hoya genus</t>
  </si>
  <si>
    <t>0602 - Live plants incl. their roots, cuttings and slips; mushroom spawn (excl. bulbs, tubers, tuberous roots, corms, crowns and rhizomes, and chicory plants and roots); 0601 - Bulbs, tubers, tuberous roots, corms, crowns and rhizomes, dormant, in growth or in flower, chicory plants and roots (excl. bulbs, tubers and tuberous roots used for human consumption and chicory roots of the variety cichorium intybus sativum)</t>
  </si>
  <si>
    <d:r xmlns:d="http://schemas.openxmlformats.org/spreadsheetml/2006/main">
      <d:rPr>
        <d:sz val="11"/>
        <d:rFont val="Calibri"/>
      </d:rPr>
      <d:t xml:space="preserve">https://members.wto.org/crnattachments/2024/SPS/NZL/24_03945_00_e.pdf
https://members.wto.org/crnattachments/2024/SPS/NZL/24_03945_01_e.pdf</d:t>
    </d:r>
  </si>
  <si>
    <t>Draft Ministerial Regulation Prescribing Industrial Products for Heavy Motor Vehicles Equipped with Positive Ignition Engines to Conform to the Standard B.E. ....</t>
  </si>
  <si>
    <t>The draft Ministerial Regulation mandates heavy motor vehicles equipped with positive ignition engines to conform to the Thai Industrial Standard TIS 3044-2563(2020) Heavy Motor Vehicle Equipped with Positive Ignition Engines: Safety Requirements; Emission from Engine, level 4.This standard shall apply to motor vehicles of categories M1 M2 N1 and N2 with positive ignition engines and a reference mass exceeding 2,610 kg and to all motor vehicles of catagories M3 and N3.This standard specifies safety requirements for pollutants, durability of pollution control devices and on-board diagnostic (OBD) system. The type approval of a completed vehicle given under this standard shall be extended to its incomplete vehicle with a reference mass below 2,610 kg. Type approvals shall be extended if the manufacturer can demonstrate that all bodywork combinations expected to be built onto the incomplete vehicle increase the reference mass of the vehicle to above 2,610 kg.The type approval of a vehicle granted under this standard shall be extended to its variants and versions with a reference mass above 2,380 kg provided that it also meets the requirements relating to the measurement of greenhouse gas emissions and fuel consumption in accordance with paragraph 4.2 of UN Regulation No. 49 Revision 6.This standard does not cover vehicle emissions testing with Portable Emissions Measurement Systems (PEMS).* Vehicles of categories M1 M2 M3 N1 N2 and N3 are as defined in TIS 2390-2563.</t>
  </si>
  <si>
    <t>Transport exhaust emissions (ICS code(s): 13.040.50); Commercial vehicles (ICS code(s): 43.080)</t>
  </si>
  <si>
    <d:r xmlns:d="http://schemas.openxmlformats.org/spreadsheetml/2006/main">
      <d:rPr>
        <d:sz val="11"/>
        <d:rFont val="Calibri"/>
      </d:rPr>
      <d:t xml:space="preserve">https://members.wto.org/crnattachments/2024/TBT/THA/24_03941_00_x.pdf</d:t>
    </d:r>
  </si>
  <si>
    <t>Mozambique</t>
  </si>
  <si>
    <t>Ministerial Diploma n..29 /2024, May 20th Approves the list of imported products whose evaluation compliance is mandatory.</t>
  </si>
  <si>
    <t xml:space="preserve">Approves the list of imported products whose evaluation
compliance is mandatory, in annex to this
Diploma and which is an integral part of it.&gt;The list referred to in paragraph 1 of article 1 is based on
the list of mandatory control products contained in Annex II
of the Standardization and Conformity Assessment Regulation,
approved by Decree no. 8/2022, of March 14.</t>
  </si>
  <si>
    <t>The HS is listed in Annex II to the Regulation from Decree 8/2022, Jully 14th</t>
  </si>
  <si>
    <t>National security requirements (TBT); Consumer information, labelling (TBT); Prevention of deceptive practices and consumer protection (TBT); Protection of human health or safety (TBT); Protection of animal or plant life or health (TBT); Protection of the environment (TBT); Quality requirements (TBT)</t>
  </si>
  <si>
    <d:r xmlns:d="http://schemas.openxmlformats.org/spreadsheetml/2006/main">
      <d:rPr>
        <d:sz val="11"/>
        <d:rFont val="Calibri"/>
      </d:rPr>
      <d:t xml:space="preserve">https://members.wto.org/crnattachments/2024/TBT/MOZ/24_03907_00_x.pdf</d:t>
    </d:r>
  </si>
  <si>
    <t>Hazardous Materials: FAST Act Requirements for Real-Time Train Consist Information</t>
  </si>
  <si>
    <t xml:space="preserve">PHMSA is amending the Hazardous Materials Regulations to require railroads that carry hazardous materials to generate in electronic form, maintain, and provide to first responders, emergency response officials, and law enforcement personnel, certain information regarding hazardous materials in rail transportation to enhance emergency response and investigative efforts. The amendments in this final rule address a safety recommendation of the National Transportation Safety Board and statutory mandates in The Fixing America's Surface Transportation Act, as amended by the Infrastructure, Investment, and Jobs Act, and complement existing regulatory requirements pertaining to the generation, maintenance, and provision of similar information in hard copy form, as well as other hazard communication requirements.Effective Date: 24 July 2024.    Voluntary Compliance Date: 24 June 2024.    Delayed Compliance Date: For Class I Railroads 24 June 2025. For Class II and III Railroads 24 June 2026.89 Federal Register (FR) 52956, Title 49 Code of Federal Regulations (CFR) Parts 171174, and 180_x000D_
https://www.govinfo.gov/content/pkg/FR-2024-06-24/html/2024-13474.htm_x000D_
https://www.govinfo.gov/content/pkg/FR-2024-06-24/pdf/2024-13474.pdfThis final rule and previous actions notified under the symbol G/TBT/N/USA/2013 are identified by Docket Number PHMSA-2016-0015. The Docket Folder is available on Regulations.gov at https://www.regulations.gov/docket/PHMSA-2016-0015/document and provides access to primary and supporting documents as well as comments received. Documents are also accessible from Regulations.gov by searching the Docket Number.</t>
  </si>
  <si>
    <t>Hazardous materials transport; Transport by rail (ICS code(s): 03.220.30); Environmental protection (ICS code(s): 13.020); Domestic safety (ICS code(s): 13.120); Protection against dangerous goods (ICS code(s): 13.300); Products of the chemical industry (ICS code(s): 71.100)</t>
  </si>
  <si>
    <t>03.220.30 - Transport by rail; 13.020 - Environmental protection; 13.120 - Domestic safety; 13.300 - Protection against dangerous goods; 71.100 - Products of the chemical industry; 03.220.30 - Transport by rail; 13.020 - Environmental protection; 13.120 - Domestic safety; 13.300 - Protection against dangerous goods; 71.100 - Products of the chemical industry</t>
  </si>
  <si>
    <d:r xmlns:d="http://schemas.openxmlformats.org/spreadsheetml/2006/main">
      <d:rPr>
        <d:sz val="11"/>
        <d:rFont val="Calibri"/>
      </d:rPr>
      <d:t xml:space="preserve">https://members.wto.org/crnattachments/2024/TBT/USA/final_measure/24_03939_00_e.pdf</d:t>
    </d:r>
  </si>
  <si>
    <t>Withdrawal of certain feed additives from the market</t>
  </si>
  <si>
    <t>The proposal notified in G/SPS/N/EU/729 (23 February 2024) is now adopted by Commission Implementing Regulation (EU) 2024/1727 of 20 June 2024 withdrawing from the market certain feed additives (Text with EEA relevance).This Regulation shall enter into force on the twentieth day following its publication in the Official Journal of the European Union.</t>
  </si>
  <si>
    <t>Adoption/publication/entry into force of reg.; Human health; Animal health; Food safety; Animal diseases; Animal diseases; Food safety; Animal health; Human health</t>
  </si>
  <si>
    <d:r xmlns:d="http://schemas.openxmlformats.org/spreadsheetml/2006/main">
      <d:rPr>
        <d:sz val="11"/>
        <d:rFont val="Calibri"/>
      </d:rPr>
      <d:t xml:space="preserve">https://members.wto.org/crnattachments/2024/SPS/EEC/24_03942_00_e.pdf
https://members.wto.org/crnattachments/2024/SPS/EEC/24_03942_00_f.pdf
https://members.wto.org/crnattachments/2024/SPS/EEC/24_03942_00_s.pdf</d:t>
    </d:r>
  </si>
  <si>
    <t>International Agricultural Surveillance System (VIGIAGRO)</t>
  </si>
  <si>
    <t>This addendum aims to inform that the Ministry of Agriculture and Livestock – MAPA, issued the Ordinance SDA/MAPA No. 1,134, 20 June 2024, to amend Annex XXVI of Normative Instruction No. 39, 27 November 2017, which provides for the functioning of the International Agricultural Surveillance System - Vigiagro, its rules and the technical, administrative and operational control and inspection procedures carried out in operations international trade and transit of products of agricultural interest.</t>
  </si>
  <si>
    <t>Agriculture and livestock products</t>
  </si>
  <si>
    <t>03.100 - Company organization and management; 03.100 - Company organization and management; 67.040 - Food products in general; 67.040 - Food products in general</t>
  </si>
  <si>
    <t>Draft Ministerial Regulation Prescribing Industrial Products for Stainless Steel Utensils for Food to Conform to the Standard B.E. ....</t>
  </si>
  <si>
    <t>The draft Ministerial Regulation mandates stainless steel utensils for food to conform to the Thai Industrial Standard TIS 3206-25XX(20XX) Stainless Steel Utensils for Food: Safety Requirement.This draft Ministerial Regulation applies to the following stainless steel utensils that come into contact with food:1)Pots2)Pans3) Spatulas4) Spoons5) Forks6) Food trays7) Tiffin carriers</t>
  </si>
  <si>
    <t>Materials and articles in contact with foodstuffs (ICS code(s): 67.250); Cookware, cutlery and flatware (ICS code(s): 97.040.60)</t>
  </si>
  <si>
    <t>67.250 - Materials and articles in contact with foodstuffs; 97.040.60 - Cookware, cutlery and flatware</t>
  </si>
  <si>
    <d:r xmlns:d="http://schemas.openxmlformats.org/spreadsheetml/2006/main">
      <d:rPr>
        <d:sz val="11"/>
        <d:rFont val="Calibri"/>
      </d:rPr>
      <d:t xml:space="preserve">https://members.wto.org/crnattachments/2024/TBT/THA/24_03940_00_x.pdf</d:t>
    </d:r>
  </si>
  <si>
    <t>Proposed partial amendments to the “Regulation on In Vitro Diagnostic Medical Device Group and Class by Group”;</t>
  </si>
  <si>
    <t xml:space="preserve">The proposed amendments to the Regulation on In Vitro Diagnostic Medical Device Group and Class by Group is as follows: _x000D_
-  Establishment of 6 new items (IVD reagents for concentrating hematopoietic cell, etc.)</t>
  </si>
  <si>
    <t>In Vitro Diagnostic Medical Devices</t>
  </si>
  <si>
    <t>11.100.10 - In vitro diagnostic test systems</t>
  </si>
  <si>
    <d:r xmlns:d="http://schemas.openxmlformats.org/spreadsheetml/2006/main">
      <d:rPr>
        <d:sz val="11"/>
        <d:rFont val="Calibri"/>
      </d:rPr>
      <d:t xml:space="preserve">https://members.wto.org/crnattachments/2024/TBT/KOR/24_03943_00_x.pdf</d:t>
    </d:r>
  </si>
  <si>
    <t>Lowering Miners' Exposure to Respirable Crystalline Silica and Improving Respiratory Protection</t>
  </si>
  <si>
    <t xml:space="preserve">The Mine Safety and Health Administration (MSHA) is correcting typographical and printing errors in the "Lowering Miners' Exposure to Respirable Crystalline Silica and Improving Respiratory'' final rule that was published in the Federal Register on 18 April 2024. The April 2024 final rule amended the Agency's existing standards to better protect miners against occupational exposure to respirable crystalline silica, a significant health hazard, and to improve respiratory protection for miners from exposure to airborne contaminants.These corrections are effective 24 June 2024, and applicable beginning 17 June 2024.89 Federal Register (FR) 52380 on 24 June 2024, Title 30 Code of Federal Regulations (CFR) Parts 56576070717275, and 90_x000D_
https://www.govinfo.gov/content/pkg/FR-2024-06-24/html/2024-13510.htmhttps://www.govinfo.gov/content/pkg/FR-2024-06-24/pdf/2024-13510.pdf_x000D_
This final rule; correction and other actions notified under the symbol G/TBT/N/USA/2017 are identified by Docket Number MSHA-2023-0001. The Docket Folder is available from Regulations.gov at https://www.regulations.gov/docket/MSHA-2023-0001/document and provides access to primary and supporting documents as well as comments received. Documents are also accessible from Regulations.gov by searching the Docket Number.</t>
  </si>
  <si>
    <t>Respiratory protection for all airborne hazards; Occupational safety. Industrial hygiene (ICS code(s): 13.100); Respiratory protective devices (ICS code(s): 13.340.30)</t>
  </si>
  <si>
    <t>13.100 - Occupational safety. Industrial hygiene; 13.100 - Occupational safety. Industrial hygiene; 13.340.30 - Respiratory protective devices; 13.340.30 - Respiratory protective devices; 13.100 - Occupational safety. Industrial hygiene; 13.340.30 - Respiratory protective devices</t>
  </si>
  <si>
    <d:r xmlns:d="http://schemas.openxmlformats.org/spreadsheetml/2006/main">
      <d:rPr>
        <d:sz val="11"/>
        <d:rFont val="Calibri"/>
      </d:rPr>
      <d:t xml:space="preserve">https://members.wto.org/crnattachments/2024/TBT/USA/24_03937_00_e.pdf</d:t>
    </d:r>
  </si>
  <si>
    <t>Corporate Average Fuel Economy Standards for Passenger Cars and Light Trucks for Model Years 2027-2032 and Fuel Efficiency Standards for Heavy-Duty Pickup Trucks and Vans for Model Years 2030-2035</t>
  </si>
  <si>
    <t xml:space="preserve">The National Highway Traffic Safety Administration (NHTSA), on behalf of the Department of Transportation (DOT), is finalizing Corporate Average Fuel Economy (CAFE) standards for passenger cars and light trucks that increase at a rate of 2 percent per year for passenger cars in model years (MYs) 2027-31, 0 percent per year for light trucks in model years 2027-28, and 2 percent per year for light trucks in model years 2029-31. NHTSA is also finalizing fuel efficiency standards for heavy-duty pickup trucks and vans (HDPUVs) for model years 2030-32 that increase at a rate of 10 percent per year and model years 2033-35 that increase at a rate of 8 percent per year.This rule is effective 23 August 2024.89 Federal Register (FR) 52540, Title 49 Code of Federal Regulations (CFR) Parts 523531533535536, and 537_x000D_
https://www.govinfo.gov/content/pkg/FR-2024-06-24/html/2024-12864.htmhttps://www.govinfo.gov/content/pkg/FR-2024-06-24/pdf/2024-12864.pdfThis final rule and other actions notified under the symbol G/TBT/N/USA/2037 are identified by Docket Number NHTSA-2023-0022. The Docket Folder is available from Regulations.gov at https://www.regulations.gov/docket/NHTSA-2023-0022/document and provides access to primary and supporting documents as well as comments received. Documents are also accessible from Regulations.gov by searching the Docket Number. </t>
  </si>
  <si>
    <t>870230 - Motor vehicles for the transport of &gt;= 10 persons, incl. driver, with both spark-ignition internal combustion reciprocating piston engine and electric motor as motors for propulsion; 870210 - Motor vehicles for the transport of &gt;= 10 persons, incl. driver, with only diesel engine; 8703 - Motor cars and other motor vehicles principally designed for the transport of &lt;10 persons, incl. station wagons and racing cars (excl. motor vehicles of heading 8702); 8709 - Works trucks, self-propelled, not fitted with lifting or handling equipment, of the type used in factories, warehouses, dock areas or airports for short distance transport of goods; tractors of the type used on railway station platforms; parts of the foregoing vehicles, n.e.s.; 870230 - Motor vehicles for the transport of &gt;= 10 persons, incl. driver, with both spark-ignition internal combustion reciprocating piston engine and electric motor as motors for propulsion; 870210 - Motor vehicles for the transport of &gt;= 10 persons, incl. driver, with only diesel engine; 8709 - Works trucks, self-propelled, not fitted with lifting or handling equipment, of the type used in factories, warehouses, dock areas or airports for short distance transport of goods; tractors of the type used on railway station platforms; parts of the foregoing vehicles, n.e.s.; 8703 - Motor cars and other motor vehicles principally designed for the transport of &lt;10 persons, incl. station wagons and racing cars (excl. motor vehicles of heading 8702)</t>
  </si>
  <si>
    <t>13.040.50 - Transport exhaust emissions; 43.060.40 - Fuel systems; 43.100 - Passenger cars. Caravans and light trailers; 43.160 - Special purpose vehicles; 13.040.50 - Transport exhaust emissions; 43.060.40 - Fuel systems; 43.100 - Passenger cars. Caravans and light trailers; 43.160 - Special purpose vehicles</t>
  </si>
  <si>
    <d:r xmlns:d="http://schemas.openxmlformats.org/spreadsheetml/2006/main">
      <d:rPr>
        <d:sz val="11"/>
        <d:rFont val="Calibri"/>
      </d:rPr>
      <d:t xml:space="preserve">https://members.wto.org/crnattachments/2024/TBT/USA/final_measure/24_03938_00_e.pdf</d:t>
    </d:r>
  </si>
  <si>
    <t>Proposed partial amendments to the ”Regulation on In Vitro Diagnostic Medical Device Approval/Report/Review, etc.”;</t>
  </si>
  <si>
    <t xml:space="preserve">The proposed amendments to the ”Regulation on In Vitro Diagnostic Medical Device Approval/Report/Review, etc.” are as follows:   _x000D_
A.  Allow occasional reporting of minor matters of  in vitro diagnostic medical devices and extend the quarterly reporting period._x000D_
B.  After changing  in vitro diagnostic medical devices, it was not possible to manufacture (import) the existing devices, but if the change was not due to side effects, manufacture (import) of the existing devices  is allowed for six (6) months. </t>
  </si>
  <si>
    <d:r xmlns:d="http://schemas.openxmlformats.org/spreadsheetml/2006/main">
      <d:rPr>
        <d:sz val="11"/>
        <d:rFont val="Calibri"/>
      </d:rPr>
      <d:t xml:space="preserve">https://members.wto.org/crnattachments/2024/TBT/KOR/24_03944_00_x.pdf</d:t>
    </d:r>
  </si>
  <si>
    <t>Fresh tomatoes for human consumption from New Zealand</t>
  </si>
  <si>
    <t>Australia has updated the import conditions for the import of fresh loose tomatoes for human consumption from New Zealand grown under a Code of Practice for Tomato Potato Psyllid (TPP), adding Pepino Mosaic Virus (PepMV) under the Code of Practice.</t>
  </si>
  <si>
    <t>Fresh tomatoes (HS code: 0702.00.00)</t>
  </si>
  <si>
    <t>0702 - Tomatoes, fresh or chilled.</t>
  </si>
  <si>
    <t>Plant health; Territory protection; Pests; Plant diseases</t>
  </si>
  <si>
    <d:r xmlns:d="http://schemas.openxmlformats.org/spreadsheetml/2006/main">
      <d:rPr>
        <d:sz val="11"/>
        <d:rFont val="Calibri"/>
      </d:rPr>
      <d:t xml:space="preserve">https://www.agriculture.gov.au/biosecurity-trade/import/industry-advice/2024/132-2024</d:t>
    </d:r>
  </si>
  <si>
    <t>This draft resolution proposes the update of active ingredients A04 - GIBERELLIC ACID, A26 - AZOXYSTROBINE, A29 - ACETAMIPRID, A38 - ACIBENZOLAR-S-METHYLIC, B26 - BIFENTRINE, B46 - BENZOVINDIFLUPYR, C29 - CHLORIMUROM ETHYLIC, C36 - CYPROCONAZOLE, C64 - CHLOTHIANIDINE, C66 - CYAZO FAMIDA, C70 - CHLORANTRANILIPROLE, C74 - CYANTRANILIPROLE, D36 - DIFENOCONE, E34 - SPIDOXAMATE, F49 - FLUDIOXONIL, F66 - FLUBENDIAMIDE, F75 - FLUCARBAZONE SODIUM, M31 - METALAXIL-M, T12 - TIABENDAZOLE, and T48 - THIAMETOXAM on the Monograph List of Active Ingredients for Pesticides, Household Cleaning Products and Wood Preservatives, which was published by Normative Instruction 103 on 19 October 2021 in the Brazilian Official Gazette (DOU - Diário Oficial da União).</t>
  </si>
  <si>
    <d:r xmlns:d="http://schemas.openxmlformats.org/spreadsheetml/2006/main">
      <d:rPr>
        <d:sz val="11"/>
        <d:rFont val="Calibri"/>
      </d:rPr>
      <d:t xml:space="preserve">https://members.wto.org/crnattachments/2024/SPS/BRA/24_03913_00_x.pdf
Draft: http://antigo.anvisa.gov.br/documents/10181/6771913/CONSULTA+P%C3%9ABLICA+N%C2%BA+1265+GGTOX.pdf/b1e255a1-8b99-4bc1-b701-9ccb8ed97055
Comment form: https://www.gov.br/anvisa/pt-br/centraisdeconteudo/publicacoes/agrotoxicos/publicacoes/formulario-padrao-consulta-publica-ggtox.docx/view</d:t>
    </d:r>
  </si>
  <si>
    <t>This draft resolution proposes the inclusion of active ingredient  C87 - SILICON-BASED COMPOUNDS, with subitem C87.1 - CALCINATED KAOLIN on the Monograph List of Active Ingredients for Pesticides, Household Cleaning Products and Wood Preservatives, which was published by Normative Instruction 103 on 19 October 2021 in the Brazilian Official Gazette (DOU - Diário Oficial da União).</t>
  </si>
  <si>
    <d:r xmlns:d="http://schemas.openxmlformats.org/spreadsheetml/2006/main">
      <d:rPr>
        <d:sz val="11"/>
        <d:rFont val="Calibri"/>
      </d:rPr>
      <d:t xml:space="preserve">https://members.wto.org/crnattachments/2024/SPS/BRA/24_03914_00_x.pdf
Draft: http://antigo.anvisa.gov.br/documents/10181/6772084/CONSULTA+P%C3%9ABLICA+N%C2%BA+1267+GGTOX.pdf/50e675a1-d4a2-4d63-811e-e7709e72e006
Comment form:  https://www.gov.br/anvisa/pt-br/centraisdeconteudo/publicacoes/agrotoxicos/publicacoes/formulario-padrao-consulta-publica-ggtox.docx/view</d:t>
    </d:r>
  </si>
  <si>
    <t>The Official Controls (Import of High-Risk Food and Feed of Non-Animal Origin) (Amendment of Commission Implementing Regulation (EU) 2019/1793) (England) (No. 2) Regulations 2024; The Official Controls (Import of High Risk Food and Feed of Non-Animal Origin) Amendment (Scotland) (No. 2) Regulations 2024; The Official Controls (Import of High-Risk Food and Feed of Non-Animal Origin) (Amendment of Commission Implementing Regulation (EU) 2019/1793) (No. 2) (Wales) Regulations 2024</t>
  </si>
  <si>
    <t>Assimilated Regulation 2019/1793 lays down rules concerning the temporary increase of official controls applicable to certain food and feed of non-animal origin entering Great Britain from the countries listed in that Regulation. This is due to the risk of contamination by aflatoxins, pesticide residues, dyes, preservatives, pentachlorophenol and dioxins by microbiological contamination. The proposed changes listed below have been subject to an assessment of the risks, by the FSA and FSS and are science and evidence based.  It is proposed that the notified document (the Regulation) amends Annexes I and II to Regulation 2019/1793 by introducing the following changes:Annex IGroundnuts in shell, Groundnuts shelled, Peanut Butter, Groundnuts, otherwise prepared or preserved, Oilcake and other solid residues, whether or not ground or in the form of pellets, resulting from the extraction of Groundnut Oil and Groundnut Flours and Meals, Groundnuts paste (Food and feed) from Brazil listed in Annex I for pesticide residues to be delisted;Move Tea, whether or not flavoured (Food) from China listed in Annex I to Annex II at 5% frequency of identity and physical checks for pesticide residues;Update CN code for Granadilla (Passiflora ligularis) and Passion Fruit (Passiflora edulis(Food) to reflect the updates to the Tariff website;Update CN code for Bananas (Food – fresh or dried) from Ecuador to extend the scope of controls and reflect the updates to the Tariff website.  Current CN codes for this listing to be removed;New listing of CN Codes for Mixtures of nuts or dried fruits containing hazelnuts (Food) from Georgia in Annex I.   New listing of CN Codes for Hazelnut paste (Food) from Georgia in Annex I;Move Flour, meal and powder of hazelnuts (Food) underneath Hazelnuts, otherwise prepared or preserved, including mixtures for consistency;New listing of CN codes for Hazelnuts, otherwise prepared or preserved, including mixtures (Food) from Georgia in Annex IThe wording ‘including mixtures’ removed from 2022/1193 in previous review and is to be added back in with additional CN codes;New listing of CN Codes for Hazelnut oil (Food) from Georgia in Annex I;New listing in Annex I for Cumin seeds (Food) from India at 10% frequency for identity and physical checks for Pesticide Residues;New listing in Annex I for Cumin seeds crushed or ground (Food) from India at 10% frequency for identity and physical checks for Pesticide Residues;New listing in Annex I for Fenugreek leaves (Food) from India at 10% frequency for identity and physical checks for Pesticide Residues;New listing in Annex I for Yardlong beans (Vigna unguiculata subsp. sesquipedalis(Food – fresh, chilled or frozen) from India at 20% frequency for identity and physical checks for Pesticide Residues;Move Guar gum (Food and feed) from India listed in Annex II to Annex I at 20% frequency of identity and physical checks for Pentachlorophenol and dioxins;Move Nutmeg (Myristica fragrans(Food – dried spices) from India listed in Annex II to Annex I at 50% frequency of identity and physical checks for Aflatoxins; Move Peppers of the Capsicum species (sweet or other than sweet) (Food – dried, roasted, crushed or ground)from India listed in Annex II to Annex I at 20% frequency of identity and physical checks for AflatoxinsNew listing in Annex I for Basil (holy, sweet) (Food)from Israel at 10% frequency for identity and physical checks for Pesticide Residues;New listing in Annex I for Mint (Food)from Israel at 10% frequency for identity and physical checks for Pesticide Residues;New listing in Annex I for Groundnuts paste (Food and Feed) from Madagascar at 50% frequency for identity and physical checks for AflatoxinsNew listing in Annex I for Mukunuwenna (Alternanthera sessilis) (Food)from Sri Lanka at 10% frequency for identity and physical checks for Pesticide Residues;New listing in Annex I for Grapefruits (Food)from Türkiye at 10% frequency for identity and physical checks for Pesticide Residues;New listing in Annex I for Sesamum seeds (Food)from Türkiye at 10% frequency for identity and physical checks for Salmonella;New listing in Annex I for Tahini and halva from Sesamum seeds (Food)from Türkiye at 10% frequency for identity and physical checks for Salmonella. Annex IINew listing in Annex II for Groundnuts paste (Food and Feed) from Argentina at 5% frequency for identity and physical checks for AflatoxinsMove Tea, whether or not flavoured (Food) from China listed in Annex I to Annex II at 5% frequency of identity and physical checks for pesticide residues;Move Guar Gum (Food and feed) from India listed in Annex II to Annex I at 20% frequency of identity and physical checks for Pentachlorophenol and dioxins;Move Nutmeg (Myristica fragrans(Food – dried spices) from India listed in Annex II to Annex I at 50% frequency of identity and physical checks for AflatoxinsMove Peppers of the Capsicum species (sweet or other than sweet) (Food – dried, roasted, crushed or ground)from India listed in Annex II to Annex I at 20% frequency of identity and physical checks for AflatoxinsIncrease from 20% to 30% frequency of identity and physical checks to be performed on Sesamum seeds (Food) from India for Salmonella;Decrease from 50% to 30% frequency of identity and physical checks to be performed on Sesamum seeds (Food) from India for Pesticide residues. </t>
  </si>
  <si>
    <t>HS Code(s): 1202 41 00; 1202 42 00; 2008 11 10; 2008 11 91; 2008 11 96; 2008 11 98; 2305 00 00; ex1208 90 00 20; ex2007 10 10 80; ex2007 10 99 50; ex2007 99 39 07; ex2007 99 39 08; 0902; ex0810 90 20 40; ex0810 90 20 50; 0803 90; ex0813 50 39 70; ex0813 50 91 70; ex0813 50 99 70; ex2007 10 10 70; ex2007 10 99 40; ex2007 99 39 05; ex2007 99 39 06; ex2007 99 50 33; ex2007 99 97 23; ex2008 19 12 30; ex2008 19 92 30; ex2008 97 12 15; ex2008 97 14 15; ex2008 97 16 15; ex2008 97 18 15; ex2008 97 32 15; ex2008 97 34 15; ex2008 97 36 15; ex2008 97 38 15; ex2008 97 51 15; ex2008 97 59 15; ex2008 97 72 15; ex2008 97 74 15; ex2008 97 76 15; ex2008 97 78 15; ex2008 97 92 15; ex2008 97 93 15; ex2008 97 94 15; ex2008 97 96 15; ex2008 97 97 15; ex2008 97 98 15; ex1515 90 99 20; 0909 31 00; 0909 32 00; ex0910 99 10; ex0708 20 00 10; ex0710 22 00 10; ex1302 32 90; 0908 11 00; 0908 12 00; 0904 21 10; ex0904 22 00 11; ex0904 22 00 19; ex0904 21 90 20; ex2005 99 10 10; ex2005 99 10 90; ex2005 99 80 94; ex1211 90 86 20; ex1211 90 86 30; 0709 99 90 35; ex0805 40 00; 1207 40 90; ex1704 90 99 12; ex1704 90 99 92; ex1806 20 95 13; ex1806 20 95 93; ex1806 90 50 10; ex1806 90 60 11; ex1806 90 60 91; ex2008 19 19 40; ex2008 19 99 40</t>
  </si>
  <si>
    <t>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0902 - Tea, whether or not flavoured; 120241 - Groundnuts, in shell (excl. seed for sowing, roasted or otherwise cooked); 120242 - Groundnuts, shelled, whether or not broken (excl. seed for sowing, roasted or otherwise cooked); 120890 - Flours and meal of oil seeds or oleaginous fruit (excl. soya and mustard); 200710 - Homogenised preparations of jams, jellies, marmalades, fruit or nut purées and nut pastes, obtained by cooking, whether or not containing added sugar or other sweetening matter, put up for retail sale as infant food or for dietetic purposes, in containers of &lt;= 250 g; 200799 - Jams, jellies, marmalades, purées or pastes of fruit, obtained by cooking, whether or not containing added sugar or other sweetening matter (excl. citrus fruit and homogenised preparations of subheading 2007.10); 200811 - Groundnuts, prepared or preserved (excl. preserved with sugar); 230500 - Oilcake and other solid residues, whether or not ground or in the form of pellets, resulting from the extraction of groundnut oil; 070820 - Fresh or chilled beans "Vigna spp., Phaseolus spp.", shelled or unshelled; 200599 - Vegetables and mixtures of vegetables, prepared or preserved otherwise than by vinegar, non-frozen (excl. preserved by sugar, homogenised vegetables of subheading 2005.10, and tomatoes, mushrooms, truffles, potatoes, peas "Pisum sativum", beans "Vigna, Phaseolus", asparagus, olives, sweetcorn "Zea Mays var. Saccharata" and bamboo shoots, unmixed); 180690 - Chocolate and other preparations containing cocoa, in containers or immediate packings of &lt;= 2 kg (excl. in blocks, slabs or bars and cocoa powder); 180620 - Chocolate and other food preparations containing cocoa, in blocks, slabs or bars weighing &gt; 2 kg or in liquid, paste, powder, granular or other bulk form, in containers or immediate packings of a content &gt; 2 kg (excl. cocoa powder); 170490 - Sugar confectionery not containing cocoa, incl. white chocolate (excl. chewing gum); 151590 - Fixed vegetable fats and oils and their fractions, whether or not refined, but not chemically modified (excl. soya-bean, groundnut, olive, palm, sunflower-seed, safflower, cotton-seed, coconut, palm kernel, babassu, rape, colza and mustard, linseed, maize, castor and sesame oil and microbial oils); 130232 - Mucilages and thickeners, derived from locust beans, locust bean seeds or guar seeds, whether or not modified; 121190 - Plants, parts of plants, incl. seeds and fruits, used primarily in perfumery, in pharmacy or for insecticidal, fungicidal or similar purposes, fresh, chilled, frozen or dried, whether or not cut, crushed or powdered (excl. ginseng roots, coca leaf, poppy straw, ephedra and bark of African cherry); 120740 - Sesamum seeds, whether or not broken; 091099 - Spices (excl. pepper of the genus Piper, fruit of the genus Capsicum or of the genus Pimenta, vanilla, cinnamon, cinnamontree flowers, clove "wholefruit", clove stems, nutmeg, mace, cardamoms, seeds of anise, badian, fennel, coriander, cumin and caraway, and juniper berries, ginger, saffron, turmeric "curcuma" and mixtures of various types of spices); 200819 - Nuts and other seeds, incl. mixtures, prepared or preserved (excl. prepared or preserved with vinegar, preserved with sugar but not laid in syrup, jams, fruit jellies, marmalades, fruit purée and pastes, obtained by cooking, and groundnuts); 090932 - Cumin seeds, crushed or ground; 090812 - Nutmeg, crushed or ground; 090811 - Nutmeg, neither crushed nor ground; 090422 - Fruits of the genus Capsicum or of the genus Pimenta, crushed or ground; 090421 - Fruits of the genus Capsicum or of the genus Pimenta, dried, neither crushed nor ground; 081350 - Mixtures of nuts or dried fruits; 080540 - Fresh or dried grapefruit and pomelos; 080390 - Fresh or dried bananas (excl. plantains); 071022 - Shelled or unshelled beans "Vigna spp., Phaseolus spp.", uncooked or cooked by steaming or by boiling in water, frozen; 070999 - Fresh or chilled vegetables n.e.s.; 090931 - Cumin seeds, neither crushed nor ground; 200897 - Mixtures of fruits, nuts and other edible parts of plants, prepared or preserved, whether or not containing added sugar or other sweetening matter or spirit (excl. mixtures of nuts, groundnuts and other seeds and preparations of the Müsli type based on unroasted cereal flakes of subheading 1904.20.10, and prepared or preserved with vinegar, preserved with sugar but not laid in syrup, jams, fruit jellies, marmalades, fruit purée and pastes, obtained by cooking)</t>
  </si>
  <si>
    <t>Bacteria; Salmonella; Aflatoxins; Toxins; Food safety; Human health; Contaminants</t>
  </si>
  <si>
    <t>Argentina; Brazil; China; Colombia; Ecuador; Georgia; India; Israel; Madagascar; Sri Lanka; Türkiye</t>
  </si>
  <si>
    <d:r xmlns:d="http://schemas.openxmlformats.org/spreadsheetml/2006/main">
      <d:rPr>
        <d:sz val="11"/>
        <d:rFont val="Calibri"/>
      </d:rPr>
      <d:t xml:space="preserve">https://members.wto.org/crnattachments/2024/SPS/GBR/24_03892_00_e.pdf
https://members.wto.org/crnattachments/2024/SPS/GBR/24_03892_01_e.pdf
https://members.wto.org/crnattachments/2024/SPS/GBR/24_03892_02_e.pdf</d:t>
    </d:r>
  </si>
  <si>
    <t>RTCR 511:2023. Cáñamo. Derivados y productos de interés sanitario que contienen cáñamo. Disposiciones administrativas, registro sanitario, etiquetado, especificaciones, control y publicidad</t>
  </si>
  <si>
    <t>El objeto de este reglamento técnico es establecer las disposiciones administrativas y requisitos para la regulación y control del material vegetal, derivados y productos de interés sanitario que contienen cáñamo. Asimismo, aplica a los derivados y productos de interés sanitario con cáñamo: alimentos, cosméticos, suplementos a la dieta, productos higiénicos, plaguicidas de uso doméstico o profesional, productos químicos peligrosos, equipos y material biomédico.</t>
  </si>
  <si>
    <t>ICS  12079901</t>
  </si>
  <si>
    <t>120799 - Oil seeds and oleaginous fruits, whether or not broken (excl. edible nuts, olives, soya beans, groundnuts, copra, linseed, rape or colza seeds, sunflower seeds, palm nuts and kernels, cotton, castor oil, sesamum, mustard, safflower, melon and poppy seeds)</t>
  </si>
  <si>
    <d:r xmlns:d="http://schemas.openxmlformats.org/spreadsheetml/2006/main">
      <d:rPr>
        <d:sz val="11"/>
        <d:rFont val="Calibri"/>
      </d:rPr>
      <d:t xml:space="preserve">https://members.wto.org/crnattachments/2024/TBT/CRI/24_03911_00_s.pdf
Centro Información de Obstáculos Técnicos al Comercio
Ministerio de Economía
 Industria y Comercio - MEIC
Teléfono: +(506) 2549-1479
Correo Electrónico: crotc@meic.go.cr; msolera@meic.go.cr
Sitio en Internet: http://www.reglatec.go.cr
</d:t>
    </d:r>
  </si>
  <si>
    <t>Amendment to the Cabinet Ordinance of Designation of Narcotics, Narcotic plants, Psychotropics and Narcotic/Psychotropic Raw Materials and Enforcement Order of the Narcotics and Psychotropic Substances Control Act</t>
  </si>
  <si>
    <t>Under the provision of the Narcotics and Psychotropics Control Act, Ministry of Health, Labour and Welfare designates a substance as Narcotics</t>
  </si>
  <si>
    <t>Narcotics</t>
  </si>
  <si>
    <d:r xmlns:d="http://schemas.openxmlformats.org/spreadsheetml/2006/main">
      <d:rPr>
        <d:sz val="11"/>
        <d:rFont val="Calibri"/>
      </d:rPr>
      <d:t xml:space="preserve">https://members.wto.org/crnattachments/2024/TBT/JPN/24_03912_00_e.pdf</d:t>
    </d:r>
  </si>
  <si>
    <t>Draft Commission Regulation amending Regulation (EC) No 1223/2009 of the European Parliament and of the Council as regards the use in cosmetic products of certain substances classified as carcinogenic, mutagenic or toxic for reproduction</t>
  </si>
  <si>
    <t>The draft measure is required to enact the prohibition to use, as cosmetic ingredients, substances classified as carcinogenic, mutagenic or toxic for reproduction (CMR) by Commission Regulation (EU) No 2024/197, which has been adopted based on the CLP Regulation and will apply from 1 September 2025. The amendment of the Cosmetics Regulation is, therefore, needed to transpose the new CMRs classification provided by Commission Regulation (EU) No 2024/197. </t>
  </si>
  <si>
    <d:r xmlns:d="http://schemas.openxmlformats.org/spreadsheetml/2006/main">
      <d:rPr>
        <d:sz val="11"/>
        <d:rFont val="Calibri"/>
      </d:rPr>
      <d:t xml:space="preserve">https://members.wto.org/crnattachments/2024/TBT/EEC/24_03925_00_e.pdf
https://members.wto.org/crnattachments/2024/TBT/EEC/24_03925_01_e.pdf</d:t>
    </d:r>
  </si>
  <si>
    <t>Technical regulation of measuring instruments for the measurement and calculation of electrical energy</t>
  </si>
  <si>
    <t>The purpose of the technical regulation is to establish the mandatory specific metrological, technical and operational requirements for electrical measuring instruments (hereinafter referred to as “electrical measuring instruments”), such as measuring transformers and elelctricity meters for measuring and calculating electrical energy, and to protect the market and consumers from the risk of counterfeit products.This technical regulation covers measuring transformers, active and inactive meters used at the stage of source of energy and electricity transmission and distribution network, and at the consumer level.The technical regulation shall be mandatory followed by and organizations for metrology, citizens and legal entities authorized to manufacture, import, sell, install, repair, to perform type testing and verification of electricity measuring instruments on the territory of Mongolia.</t>
  </si>
  <si>
    <t>Measuring instruments for the measurement and calculation of electrical energy</t>
  </si>
  <si>
    <t>17.220 - Electricity. Magnetism. Electrical and magnetic measurements</t>
  </si>
  <si>
    <t>National security requirements (TBT); Prevention of deceptive practices and consumer protection (TBT)</t>
  </si>
  <si>
    <t>Metrology</t>
  </si>
  <si>
    <d:r xmlns:d="http://schemas.openxmlformats.org/spreadsheetml/2006/main">
      <d:rPr>
        <d:sz val="11"/>
        <d:rFont val="Calibri"/>
      </d:rPr>
      <d:t xml:space="preserve">https://members.wto.org/crnattachments/2024/TBT/MNG/24_03916_00_e.pdf</d:t>
    </d:r>
  </si>
  <si>
    <t>The following communication, received on 21 June 2024, is being circulated at the request of the delegation of Costa Rica.</t>
  </si>
  <si>
    <t xml:space="preserve">•••See below table 001 •••Table001 |  Resolution regulating the importation of rooted raspberry (Rubus idaeus) cuttings and plants for planting originating in Spain   | |  Costa Rica hereby advises that the phytosanitary measures notified in document G/SPS/N/CRI/265 have entered into force pursuant to Resolution No. 052-2024-CV-ARP-2024 of the State Phytosanitary Service, Standards and Regulations Department, Pest Risk Analysis Unit, establishing phytosanitary requirements for the importation of rooted raspberry (Rubus idaeus) cuttings and plants for planting originating in Spain. https://members.wto.org/crnattachments/2024/SPS/CRI/24_03909_00_s.pdf   | |  This addendum concerns a:   | |</t>
  </si>
  <si>
    <t>Esquejes enraizados y plantas con raíz de frambuesa (Rubus idaeus) para plantar</t>
  </si>
  <si>
    <d:r xmlns:d="http://schemas.openxmlformats.org/spreadsheetml/2006/main">
      <d:rPr>
        <d:sz val="11"/>
        <d:rFont val="Calibri"/>
      </d:rPr>
      <d:t xml:space="preserve">https://members.wto.org/crnattachments/2024/SPS/CRI/24_03909_00_s.pdf</d:t>
    </d:r>
  </si>
  <si>
    <t>Finland</t>
  </si>
  <si>
    <t>Draft Decree of the Ministry of Social Affairs and Health amending the Decree of the Ministry of Social Affairs and Health on the standards and notifications concerning tobacco and similar products </t>
  </si>
  <si>
    <t>Technical details on the notifications concerning smokeless nicotine products.</t>
  </si>
  <si>
    <t>Smokeless nicotine products</t>
  </si>
  <si>
    <d:r xmlns:d="http://schemas.openxmlformats.org/spreadsheetml/2006/main">
      <d:rPr>
        <d:sz val="11"/>
        <d:rFont val="Calibri"/>
      </d:rPr>
      <d:t xml:space="preserve">https://members.wto.org/crnattachments/2024/TBT/FIN/24_03918_00_x.pdf
https://members.wto.org/crnattachments/2024/TBT/FIN/24_03918_01_x.pdf</d:t>
    </d:r>
  </si>
  <si>
    <t>Draft Resolution 1268, 20 June 2024</t>
  </si>
  <si>
    <t>This draft resolution proposes the establishment of technological functions, maximum limits and conditions of use for food additives and technology aids authorized for use in foods.This draft resolution is part of a process that will create a Resolution GMC/MERCOSUL.This regulation will be also notified to the TBT Committee.</t>
  </si>
  <si>
    <d:r xmlns:d="http://schemas.openxmlformats.org/spreadsheetml/2006/main">
      <d:rPr>
        <d:sz val="11"/>
        <d:rFont val="Calibri"/>
      </d:rPr>
      <d:t xml:space="preserve">https://members.wto.org/crnattachments/2024/SPS/BRA/24_03915_00_x.pdf
Draft: http://antigo.anvisa.gov.br/documents/10181/6773325/CONSULTA+P%C3%9ABLICA+N%C2%BA+1268+GGALI.pdf/d1b396bc-dcc1-49cb-99b8-698d38d54974
Comment form:  http://pesquisa.anvisa.gov.br/index.php/687278?lang=pt-BR</d:t>
    </d:r>
  </si>
  <si>
    <t>Draft Decree of the Ministry of Social Affairs and Health amending the Decree of the Ministry of Social Affairs and Health on the labelling and other layout elements of tobacco and related products and their unit packets </t>
  </si>
  <si>
    <t>Technical details on the health warning required for unit packets of smokeless nicotine products</t>
  </si>
  <si>
    <d:r xmlns:d="http://schemas.openxmlformats.org/spreadsheetml/2006/main">
      <d:rPr>
        <d:sz val="11"/>
        <d:rFont val="Calibri"/>
      </d:rPr>
      <d:t xml:space="preserve">https://members.wto.org/crnattachments/2024/TBT/FIN/24_03917_00_x.pdf
https://members.wto.org/crnattachments/2024/TBT/FIN/24_03917_01_x.pdf</d:t>
    </d:r>
  </si>
  <si>
    <t>Ministerial Decision number 601 of 11 June 2024 (United states of America)</t>
  </si>
  <si>
    <t>Decision to ban and lift the ban of poultry meat (fresh, chilled, frozen and processed) of all types from certain counties in the United States of America due to an outbreak of highly pathogenic avian influenza.</t>
  </si>
  <si>
    <t>Meat and edible offal of the poultry of heading (HS code(s): 01.05), fresh, chilled or frozen (HS code(s): 0207); Meat, meat products and other animal produce (ICS code(s): 67.120)</t>
  </si>
  <si>
    <t>Avian Influenza; Human health; Animal health; Food safety; Animal diseases; Zoonoses</t>
  </si>
  <si>
    <t xml:space="preserve">United States of America
</t>
  </si>
  <si>
    <d:r xmlns:d="http://schemas.openxmlformats.org/spreadsheetml/2006/main">
      <d:rPr>
        <d:sz val="11"/>
        <d:rFont val="Calibri"/>
      </d:rPr>
      <d:t xml:space="preserve">https://members.wto.org/crnattachments/2024/SPS/KWT/24_03919_01_x.pdf
https://members.wto.org/crnattachments/2024/SPS/KWT/24_03919_00_x.pdf</d:t>
    </d:r>
  </si>
  <si>
    <t>Ministerial Decision number 616 of 11 June 2024 (Australia)</t>
  </si>
  <si>
    <t>Decision to ban poultry meat (fresh, chilled, frozen and processed) of all types from certain areas in Australia (Meredith and Terang, Victoria) due to an outbreak of highly pathogenic avian influenza.</t>
  </si>
  <si>
    <t>Australia (Meredith and Terang in Victoria)</t>
  </si>
  <si>
    <d:r xmlns:d="http://schemas.openxmlformats.org/spreadsheetml/2006/main">
      <d:rPr>
        <d:sz val="11"/>
        <d:rFont val="Calibri"/>
      </d:rPr>
      <d:t xml:space="preserve">https://members.wto.org/crnattachments/2024/SPS/KWT/24_03920_00_x.pdf</d:t>
    </d:r>
  </si>
  <si>
    <t>Ministerial Diploma No. 98/2023 July 14th Establishes taxes on products to be exported to Mozambique, within the scope of the implementation of the Conformity Assessment Program (PAC)</t>
  </si>
  <si>
    <t>This Ministerial Diploma establish fees on the products to be exported to Mozambique, within the scope the implementation of the Conformity Assessment Program (PAC).</t>
  </si>
  <si>
    <d:r xmlns:d="http://schemas.openxmlformats.org/spreadsheetml/2006/main">
      <d:rPr>
        <d:sz val="11"/>
        <d:rFont val="Calibri"/>
      </d:rPr>
      <d:t xml:space="preserve">https://members.wto.org/crnattachments/2024/TBT/MOZ/24_03710_00_x.pdf</d:t>
    </d:r>
  </si>
  <si>
    <t>Proposed Maximum Residue Limit: Trifloxystrobin (PMRL2024-12)</t>
  </si>
  <si>
    <t>The objective of the notified document PMRL2024-12 is to consult on the listed maximum residue limits (MRLs) for trifloxystrobin that have been proposed by Health Canada’s Pest Management Regulatory Agency (PMRA).MRL (ppm)1 Raw Agricultural Commodity (RAC) and/or Processed Commodity1.5              Green onions (crop subgroup 3-07B); honeysuckle0.04            Bulb onions (crop subgroup 3-07A)1 ppm = parts per millionThe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</si>
  <si>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trifloxystrobin in or on various commodities (ICS codes: 65.020, 65.100, 67.040, 67.080)</t>
  </si>
  <si>
    <t>65.020.01 - Farming and forestry in general; 65.100 - Pesticides and other agrochemicals; 67.040 - Food products in general; 67.080 - Fruits. Vegetables</t>
  </si>
  <si>
    <t>Correction of subitem 6.1.1.4.1.10, in Annex I of Inmetro Ordinance No. 148, 28 March 2022, published in the Official Gazette of the Union on 31 March 2022, pages 119 to 131, section 1.</t>
  </si>
  <si>
    <t>https://www.in.gov.br/en/web/dou/-/retificacao-564270026</t>
  </si>
  <si>
    <t>Chapter 84 - Boilers; Chapter 85 - Electric machinery, equipment and parts.</t>
  </si>
  <si>
    <t>84 - NUCLEAR REACTORS, BOILERS, MACHINERY AND MECHANICAL APPLIANCES; PARTS THEREOF; 85 - ELECTRICAL MACHINERY AND EQUIPMENT AND PARTS THEREOF; SOUND RECORDERS AND REPRODUCERS, TELEVISION IMAGE AND SOUND RECORDERS AND REPRODUCERS, AND PARTS AND ACCESSORIES OF SUCH ARTICLES; 85 - ELECTRICAL MACHINERY AND EQUIPMENT AND PARTS THEREOF; SOUND RECORDERS AND REPRODUCERS, TELEVISION IMAGE AND SOUND RECORDERS AND REPRODUCERS, AND PARTS AND ACCESSORIES OF SUCH ARTICLES; 85 - ELECTRICAL MACHINERY AND EQUIPMENT AND PARTS THEREOF; SOUND RECORDERS AND REPRODUCERS, TELEVISION IMAGE AND SOUND RECORDERS AND REPRODUCERS, AND PARTS AND ACCESSORIES OF SUCH ARTICLES; 84 - NUCLEAR REACTORS, BOILERS, MACHINERY AND MECHANICAL APPLIANCES; PARTS THEREOF; 84 - NUCLEAR REACTORS, BOILERS, MACHINERY AND MECHANICAL APPLIANCES; PARTS THEREOF</t>
  </si>
  <si>
    <t>65.040.99 - Other standards related to farm buildings and installations; 65.040.99 - Other standards related to farm buildings and installations; 65.040.99 - Other standards related to farm buildings and installations</t>
  </si>
  <si>
    <t xml:space="preserve">Cellulosic materials, packaging and equipment that come into contact with food. Amendment to GMC Resolution No. 40/15. •••See below table 001 Description: Notification of draft Resolution No. 02/24, "Amendment to GMC Resolution No. 40/15 - MERCOSUR Technical Regulation on cellulosic materials, packaging and equipment that come into contact with food", whereby it is proposed to update the aforementioned Resolution with respect to the restriction established for the use of diisopropylnaphthalene in cellulosic material that comes into contact with food and contains recycled fibres. Punto Focal OTC-OMC Argentina (Argentine TBT-WTO Focal Point) Dirección Nacional de Reglamentos Técnicos (National Technical Regulation Directorate) Área Obstáculos Técnicos al Comercio (Technical Barriers to Trade Division) Av. Julio A. Roca N° 651 Of. 423 A (C1067ABB) Buenos Aires, Argentina Email: focalotc@produccion.gob.ar •••Table001 |  Reason for Addendum:   | |</t>
  </si>
  <si>
    <t xml:space="preserve">Notification of draft Resolution No. 02/24, "Amendment to GMC Resolution No. 40/15 - MERCOSUR Technical Regulation on cellulosic materials, packaging and equipment that come into contact with food", whereby it is proposed to update the aforementioned Resolution with respect to the restriction established for the use of diisopropylnaphthalene in cellulosic material that comes into contact with food and contains recycled fibres. Punto Focal OTC-OMC Argentina (Argentine TBT-WTO Focal Point) Dirección Nacional de Reglamentos Técnicos (National Technical Regulation Directorate) Área Obstáculos Técnicos al Comercio (Technical Barriers to Trade Division) Av. Julio A. Roca N° 651 Of. 423 A (C1067ABB) Buenos Aires, Argentina Email: focalotc@produccion.gob.ar •••Table001 |  Reason for Addendum:   | |</t>
  </si>
  <si>
    <t>Cellulosic materials, packaging and equipment that come into contact with food</t>
  </si>
  <si>
    <t>67.250 - Materials and articles in contact with foodstuffs; 67.250 - Materials and articles in contact with foodstuffs</t>
  </si>
  <si>
    <d:r xmlns:d="http://schemas.openxmlformats.org/spreadsheetml/2006/main">
      <d:rPr>
        <d:sz val="11"/>
        <d:rFont val="Calibri"/>
      </d:rPr>
      <d:t xml:space="preserve">https://members.wto.org/crnattachments/2024/TBT/ARG/modification/24_03884_00_s.pdf</d:t>
    </d:r>
  </si>
  <si>
    <t>Amendment of Inmetro Ordinance nº 420, 4 October 2021</t>
  </si>
  <si>
    <t>National Institute of Metrology, Quality and Technology - Inmetro, issued Inmetro Ordinance 215, 5 June 2024 that amends Ordinance 420, 4 October 2021, that approves Technical Quality Regulation and Conformity Assessment Requirements for Solar Water Heating Equipment - Consolidated.</t>
  </si>
  <si>
    <t>Systems and equipment for water heating using solar energy (HS 8419)</t>
  </si>
  <si>
    <t>8419 - 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 8514 - Industrial or laboratory electric furnaces and ovens, incl. those functioning by induction or dielectric loss; other industrial or laboratory equipment for the heat treatment of materials by induction or dielectric loss; parts thereof; 8419 - Machinery, plant or laboratory equipment whether or not electrically heated (excl. furnaces, ovens and other equipment of heading 8514), for the treatment of materials by a process involving a change of temperature such as heating, cooking, roasting, distilling, rectifying, sterilizing, pasteurizing, steaming, drying, evaporating, vapourizing, condensing or cooling (excl. those used for domestic purposes); instantaneous or storage water heaters, non-electric; parts thereof; 8514 - Industrial or laboratory electric furnaces and ovens, incl. those functioning by induction or dielectric loss; other industrial or laboratory equipment for the heat treatment of materials by induction or dielectric loss; parts thereof</t>
  </si>
  <si>
    <t>27.160 - Solar energy engineering; 27.160 - Solar energy engineering; 91.140.65 - Water heating equipment; 91.140.65 - Water heating equipment</t>
  </si>
  <si>
    <d:r xmlns:d="http://schemas.openxmlformats.org/spreadsheetml/2006/main">
      <d:rPr>
        <d:sz val="11"/>
        <d:rFont val="Calibri"/>
      </d:rPr>
      <d:t xml:space="preserve">https://www.in.gov.br/web/dou/-/portaria-n-215-de-6-de-junho-de-2024-564253491</d:t>
    </d:r>
  </si>
  <si>
    <t>Biocides Regulations and Order Amending the Fees in Respect of Drugs and Medical Devices Order (Biocides)</t>
  </si>
  <si>
    <t>Health Canada has introduced new regulations under the Food and Drugs Act (FDA) specific to biocides that will see:the transfer of surface sanitizers that meet the definition of a drug and are regulated under the Pest Control Products Act, disinfectants that are currently regulated under the Food and Drug Regulations, and all surface sanitizers for use in food premises that fall under the purview of the FDA, to the Biocides Regulationsthe creation of a new, modern authorization and regulatory framework with safety, efficacy and quality requirements specific to biocides;requirements and authorities that support the continuous post-market oversight of a biocide’s benefits and risks; andthe creation of a pathway for authorization based on decisions from foreign regulators, starting with the United States Environmental Protection Agency.In support of regulatory activities under the Biocides Regulations, Health Canada will be charging fees for the examination of applications for market authorization and for changes to authorized biocides, as well as for post-market monitoring of biocides on the Canadian market, once the new regulations come into force. These fees will be set in the Fees in Respect of Drugs and Medical Devices Order (Fees Order).</t>
  </si>
  <si>
    <t>Sterilization and disinfection (ICS: 11.080), Chemicals for industrial and domestic disinfection purposes (ICS: 71.100.35)</t>
  </si>
  <si>
    <t>Proposed Maximum Residue Limit: Bromoxynil (PMRL2024-11)</t>
  </si>
  <si>
    <t>The objective of the notified document PMRL2024-11 is to consult on the listed maximum residue limits (MRLs) for bromoxynil that have been proposed by Health Canada’s Pest Management Regulatory Agency (PMRA).MRL (ppm)1 Raw Agricultural Commodity (RAC) and/or Processed Commodity0.02            Green onions, shallot bulbs0.01            Leeks1 ppm = parts per million</t>
  </si>
  <si>
    <t>Pesticide bromoxynil in or on green onions, shallot bulbs and leeks (ICS codes: 65.020, 65.100, 67.040, 67.080)</t>
  </si>
  <si>
    <t>Anteproyecto de Acuerdo mediante el cual el Pleno del Instituto Federal de Telecomunicaciones modifica los Lineamientos para la homologación de productos, equipos, dispositivos o aparatos destinados a telecomunicaciones o radiodifusión.</t>
  </si>
  <si>
    <t>El Instituto Federal de Telecomunicaciones (en lo sucesivo, el “Instituto”) convencido de la importancia y relevancia de transparentar su proceso de modificación de regulaciones, recibirá comentarios, opiniones y aportaciones de cualquier persona (física o moral) interesada a propósito del “Anteproyecto de Acuerdo mediante el cual el Pleno del Instituto Federal de Telecomunicaciones modifica los Lineamientos para la homologación de productos, equipos, dispositivos o aparatos destinados a telecomunicaciones o radiodifusión” (en lo sucesivo, el “Anteproyecto”).Los objetivos principales del Anteproyecto consisten en modificar los Lineamientos para la homologación de productos, equipos, dispositivos o aparatos destinados a telecomunicaciones o radiodifusión (en lo sucesivo, los “Lineamientos de homologación”), con la finalidad de: i) hacer referencia, de manera expresa, al requisito del Sello IFT como un elemento adicional en el marcado o etiquetado, de conformidad con lo previsto en los Lineamientos para el uso del Sello IFT en productos, equipos, dispositivos o aparatos destinados a telecomunicaciones o radiodifusión homologados; ii) ampliar la opción de impresión del Sello IFT, para que éste se pueda realizar de manera física o electrónica con la finalidad de disminuir los tiempos de adecuación de los Productos para el cumplimiento de lo previsto en los Lineamientos de homologación, y iii) considerar la variedad de Productos a los que les aplica el marcado o etiquetado, físico o electrónico, a fin de que no exista duda respecto a la aplicación de los Lineamientos de homologación.El proyecto de modificación puede ser consultado directamente en el portal de IFT a través del siguiente enlace https://www.ift.org.mx/industria/consultas-publicas/anteproyecto-de-acuerdo-mediante-el-cual-el-pleno-del-instituto-federal-de-telecomunicaciones-2</t>
  </si>
  <si>
    <t>Productos, equipos, dispositivos o aparatos destinados a telecomunicaciones o radiodifusión que puedan ser conectados a una red de telecomunicaciones o hacer uso del espectro radioeléctrico.</t>
  </si>
  <si>
    <t>33.020 - Telecommunications in general</t>
  </si>
  <si>
    <d:r xmlns:d="http://schemas.openxmlformats.org/spreadsheetml/2006/main">
      <d:rPr>
        <d:sz val="11"/>
        <d:rFont val="Calibri"/>
      </d:rPr>
      <d:t xml:space="preserve">https://members.wto.org/crnattachments/2024/TBT/MEX/24_03901_00_s.pdf
https://www.ift.org.mx/sites/default/files/industria/temasrelevantes/25461/documentos/1anexounicomodlineamientoshomologacionatendidosclean.pdf</d:t>
    </d:r>
  </si>
  <si>
    <t xml:space="preserve">Preliminary draft Guidelines for the use of the Federal Telecommunications Institute (IFT) seal on type-approved products, equipment, devices or apparatus for telecommunications or broadcasting •••See below table 001 Description: The Federal Telecommunications Institute (hereinafter, the "IFT"), convinced of the importance and relevance of transparency in its process of amending regulations, will receive comments, opinions and input from any natural or legal person interested in the "Preliminary draft Decision of the Plenary Meeting of the Federal Telecommunications Institute amending the provisions issuing the Guidelines for the use of the IFT seal of the Federal Telecommunications Institute on type-approved products, equipment, devices or apparatus for telecommunications or broadcasting" (hereinafter, the "preliminary draft"). The main objectives of the preliminary draft are: (i) to amend the general characteristics required for the printing, digitization or reproduction of the IFT seal on type-approved products, equipment, devices or apparatus intended for telecommunications or broadcasting; (ii) to disseminate through the electronic window and on a provisional basis the vector file containing the IFT seal; and (iii) to amend the date of entry into force of the "Guidelines for the use of the IFT seal on type-approved products, equipment, devices or apparatus for telecommunications or broadcasting" to 31 March 2025. The public consultation can be directly accessed on the IFT's portal: https://www.ift.org.mx/industria/consultas-publicas/consulta-publica-sobre-el-anteproyecto-que-modifica-los-lineamientos-para-el-uso-del-sello-ift-del •••Table001 |  Reason for Addendum:   | |</t>
  </si>
  <si>
    <t xml:space="preserve">The Federal Telecommunications Institute (hereinafter, the "IFT"), convinced of the importance and relevance of transparency in its process of amending regulations, will receive comments, opinions and input from any natural or legal person interested in the "Preliminary draft Decision of the Plenary Meeting of the Federal Telecommunications Institute amending the provisions issuing the Guidelines for the use of the IFT seal of the Federal Telecommunications Institute on type-approved products, equipment, devices or apparatus for telecommunications or broadcasting" (hereinafter, the "preliminary draft"). The main objectives of the preliminary draft are: (i) to amend the general characteristics required for the printing, digitization or reproduction of the IFT seal on type-approved products, equipment, devices or apparatus intended for telecommunications or broadcasting; (ii) to disseminate through the electronic window and on a provisional basis the vector file containing the IFT seal; and (iii) to amend the date of entry into force of the "Guidelines for the use of the IFT seal on type-approved products, equipment, devices or apparatus for telecommunications or broadcasting" to 31 March 2025. The public consultation can be directly accessed on the IFT's portal: https://www.ift.org.mx/industria/consultas-publicas/consulta-publica-sobre-el-anteproyecto-que-modifica-los-lineamientos-para-el-uso-del-sello-ift-del •••Table001 |  Reason for Addendum:   | |</t>
  </si>
  <si>
    <t>The main objectives of the preliminary draft are: (i) to add an easily recognizable graphic element to marking or labelling, and (ii) to establish mandatory specifications and provisions regarding the use of a seal by type-approval certificate holders, affiliates, subsidiaries and importers as part of the marking or labelling referred to in Chapter IX of the "Guidelines for the type approval of products, equipment, devices or apparatus for telecommunications or broadcasting", published in the Official Journal of the Federation on 29 December 2021.</t>
  </si>
  <si>
    <t>33.050 - Telecommunication terminal equipment; 33.050 - Telecommunication terminal equipment; 33.060.20 - Receiving and transmitting equipment; 33.060.20 - Receiving and transmitting equipment</t>
  </si>
  <si>
    <d:r xmlns:d="http://schemas.openxmlformats.org/spreadsheetml/2006/main">
      <d:rPr>
        <d:sz val="11"/>
        <d:rFont val="Calibri"/>
      </d:rPr>
      <d:t xml:space="preserve">https://members.wto.org/crnattachments/2024/TBT/MEX/modification/24_03900_00_s.pdf
https://www.ift.org.mx/sites/default/files/industria/temasrelevantes/25460/documentos/1anexounicoselloiftclean.pdf
</d:t>
    </d:r>
  </si>
  <si>
    <t>Draft resolution 1262, 13 June 2024</t>
  </si>
  <si>
    <t xml:space="preserve">This Draft Resolution contains provisions on criteria for updating the composition of COVID-19 vaccines to be used in Brazil.Vaccines intended to prevent Covid-19 to be
sold or used in Brazil must comply with the composition
recommended by the World Health Organization (WHO).</t>
  </si>
  <si>
    <t>300241 - Vaccines for human medicine</t>
  </si>
  <si>
    <d:r xmlns:d="http://schemas.openxmlformats.org/spreadsheetml/2006/main">
      <d:rPr>
        <d:sz val="11"/>
        <d:rFont val="Calibri"/>
      </d:rPr>
      <d:t xml:space="preserve">https://members.wto.org/crnattachments/2024/TBT/BRA/24_03865_00_x.pdf
Draft: https://antigo.anvisa.gov.br/documents/10181/6770142/CONSULTA+PUBLICA+N%C2%BA+1262+GGBIO.pdf/8b8fe3eb-3abc-4dcc-ad12-515c9d432e86</d:t>
    </d:r>
  </si>
  <si>
    <t>Panama</t>
  </si>
  <si>
    <t>Requisitos Fitosanitarios de Importación (RFI), para consumo humano y/o transformación: RFI Pepinos y pepinillos (Cucumis sativus), origen de Estados Unidos de América (Florida), Costa Rica, Perú; RFI Perejil (Petroselinum crispumorigen de Estados Unidos de América (California, Florida y Arizona), Costa Rica, Colombia, Ecuador; RFI Ajos (Allium sativum), origen de Estados Unidos de América (California, Florida), Perú, Argentina, España, Holanda, China; RFI Alcachofas o alcauciles (Cynara cardunculus var. Scolymus), origen de Estados Unidos de América (Florida, California), México, Colombia, Ecuador, Perú, España, Francia</t>
  </si>
  <si>
    <t>En cumplimiento de las facultades legales otorgadas al Ministerio de Desarrollo Agropecuario (MIDA) mediante la Ley 206 de 30 de marzo de 2021, que crea la Agencia Panameña de Alimentos (APA), la Dirección Nacional de Sanidad Vegetal del MIDA notifica a las Autoridades Fitosanitarias de sus socios comerciales que ha actualizado los RFI para Perejil, Ajos, Alcachofas o alcauciles, Pepinos y pepinillos  para consumo humano y/o transformación, originarios de los países indicados en cada RFI.En este sentido, se adjunta los veinticuatro RFI para que los socios comerciales indicados en el punto 4, puedan emitir comentarios de considerarlo necesario y sean remitidos al correo: vigilanciafito@mida.gob.pa</t>
  </si>
  <si>
    <t>Perejil (Petroselinum crispum), Ajos (Allium sativum), Alcachofas o alcauciles (Cynara cardunculus var. Scolymus), Pepinos y pepinillos (Cucumis sativus) frescos y refrigerados para consumo humano y/o transformación</t>
  </si>
  <si>
    <t>070999 - Fresh or chilled vegetables n.e.s.; 070991 - Fresh or chilled globe artichokes; 070700 - Cucumbers and gherkins, fresh or chilled; 070320 - Garlic, fresh or chilled</t>
  </si>
  <si>
    <t>Territory protection; Pest- or Disease- free Regions / Regionalization; Plant health; Plant diseases</t>
  </si>
  <si>
    <d:r xmlns:d="http://schemas.openxmlformats.org/spreadsheetml/2006/main">
      <d:rPr>
        <d:sz val="11"/>
        <d:rFont val="Calibri"/>
      </d:rPr>
      <d:t xml:space="preserve">https://mida.gob.pa/requisitos-fitosanitarios-para-importacion-sv/</d:t>
    </d:r>
  </si>
  <si>
    <t>Regulations amending the Products Containing Mercury Regulations</t>
  </si>
  <si>
    <t>The proposed changes notified in G/TBT/N/CAN/687 (dated January 3, 2023) were adopted and published on June 19, 2024, as the Regulations amending the Products Containing Mercury Regulations (the Amendments).The Amendments modify the Products Containing Mercury Regulations (the Regulations) to align with the requirements under the Minamata Convention on Mercury. The Regulations, which came into force in 2015, prohibit the manufacture and import of products containing mercury, with some exemptions for essential products which have no viable alternatives (for example lamps, certain health, safety and research applications and dental amalgam). The Amendments: Lower the allowable mercury content limits of lamps that are exempt from the general mercury prohibition, including straight fluorescent lamps for general lighting purposes;Add prohibition dates for certain mercury-containing products, including the most common types of lamps containing mercury, and for replacement lamps after a transitionary period;Remove other exemptions for products no longer in use in Canada and products whose exemption period has expired.Broaden the scope of the accreditation bodies recognized under the Regulations to include signatories of the International Laboratory Accreditation Cooperation Mutual Recognition Arrangement.Other amendments to the Regulations aim to clarify some provisions of the regulatory text, such as those related to labelling, testing, reporting, and recordkeeping.The Amendments come into force on the first anniversary of the day on which they are published in the Canada Gazette, Part II.</t>
  </si>
  <si>
    <t>Mercury-containing products, including but not limited to the following: Lamps, Batteries, Dental Amalgam, Thermostats, Switches and relays, Thermometers, Other Measuring Devices, Tire Balancers (ICS: 11.060, 17.020, 17.200, 29.120, 29.140, 29.220, 43.040)</t>
  </si>
  <si>
    <t>11.060 - Dentistry; 11.060 - Dentistry; 17.020 - Metrology and measurement in general; 17.020 - Metrology and measurement in general; 17.200 - Thermodynamics and temperature measurements; 17.200 - Thermodynamics and temperature measurements; 29.120 - Electrical accessories; 29.120 - Electrical accessories; 29.140 - Lamps and related equipment; 29.140 - Lamps and related equipment; 29.220 - Galvanic cells and batteries; 29.220 - Galvanic cells and batteries; 43.040 - Road vehicle systems; 43.040 - Road vehicle systems</t>
  </si>
  <si>
    <d:r xmlns:d="http://schemas.openxmlformats.org/spreadsheetml/2006/main">
      <d:rPr>
        <d:sz val="11"/>
        <d:rFont val="Calibri"/>
      </d:rPr>
      <d:t xml:space="preserve">https://canadagazette.gc.ca/rp-pr/p2/2024/2024-06-19/html/sor-dors109-eng.html (English)
https://canadagazette.gc.ca/rp-pr/p2/2024/2024-06-19/html/sor-dors109-fra.html  (French)</d:t>
    </d:r>
  </si>
  <si>
    <t>Draft resolution 1266, 17 June 2024</t>
  </si>
  <si>
    <t>This Draft Resolution contains provisions on criteria for indication, inclusion and exclusion of medicines in the List of Reference Medicines.</t>
  </si>
  <si>
    <t>Medicaments consisting of two or more constituents mixed together for therapeutic or prophylactic uses, not in measured doses or put up for retail sale (excl. goods of heading 3002, 3005 or 3006) (HS code(s): 3003); Medicaments consisting of mixed or unmixed products for therapeutic or prophylactic uses, put up in measured doses "incl. those for transdermal administration" or in forms or packings for retail sale (excl. goods of heading 3002, 3005 or 3006) (HS code(s): 3004)</t>
  </si>
  <si>
    <t>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t>
  </si>
  <si>
    <d:r xmlns:d="http://schemas.openxmlformats.org/spreadsheetml/2006/main">
      <d:rPr>
        <d:sz val="11"/>
        <d:rFont val="Calibri"/>
      </d:rPr>
      <d:t xml:space="preserve">https://members.wto.org/crnattachments/2024/TBT/BRA/24_03864_00_x.pdf
Draft: http://antigo.anvisa.gov.br/documents/10181/3231220/%281%29CONSULTA+P%C3%9ABLICA+N%C2%BA+1266+DIRE2c.pdf/8b7b9eef-1257-4a49-bd4a-6190b6943c18
</d:t>
    </d:r>
  </si>
  <si>
    <t>Proyecto de Resolución N° 01/24- “Reglamento Técnico MERCOSUR para Películas de Celulosa Regenerada Destinadas a Entrar en Contacto con Alimentos (Derogación de la Resolución GMC N° 55/97)”</t>
  </si>
  <si>
    <t>El Proyecto de Resolución N° 01/24 corresponde a la actualización de la Resolución GMC N° 55/97 y tiene como propósito establecer los requisitos que deben cumplir las películas de celulosa regenerada destinadas a entrar en contacto con los alimentos.</t>
  </si>
  <si>
    <t>Películas de celulosa regenerada destinadas a entrar en contacto con alimentos</t>
  </si>
  <si>
    <t>67.250 - Materials and articles in contact with foodstuffs</t>
  </si>
  <si>
    <d:r xmlns:d="http://schemas.openxmlformats.org/spreadsheetml/2006/main">
      <d:rPr>
        <d:sz val="11"/>
        <d:rFont val="Calibri"/>
      </d:rPr>
      <d:t xml:space="preserve">https://members.wto.org/crnattachments/2024/TBT/ARG/24_03885_00_s.pdf</d:t>
    </d:r>
  </si>
  <si>
    <t>Revision of the Order for Enforcement of the Act on the Regulation of Manufacture and Evaluation of Chemical Substances</t>
  </si>
  <si>
    <t xml:space="preserve">Based on Article 2, paragraph 3, of the Act on the Regulation of Manufacture and Evaluation of Chemical Substances (hereinafter referred to as “the Act”), NPE will be designated as a class II specified chemical substance._x000D_
Based on Article 35, paragraph 1 and 6 of the Act, a person who manufactures or imports NPE shall notify the planned quantity of NPE to be manufactured or imported._x000D_
Based on Article 36, paragraph 1 of the Act, measures under the technical guidelines shall be taken upon handling NPE and NPE-added water-based cleaning agents._x000D_
Based on Article 37, paragraph 1 of the Act, labels with respect to the measures shall be indicated on containers, packaging, etc. on NPE and NPE-added water-based cleaning agents._x000D_
</t>
  </si>
  <si>
    <t>Poly (oxyethylene)=alkyl phenyl ether (where the alkyl consists of 9 carbon atoms, hereinafter referred to as “NPE”.) and NPE-added water-based cleaning agents</t>
  </si>
  <si>
    <d:r xmlns:d="http://schemas.openxmlformats.org/spreadsheetml/2006/main">
      <d:rPr>
        <d:sz val="11"/>
        <d:rFont val="Calibri"/>
      </d:rPr>
      <d:t xml:space="preserve">https://members.wto.org/crnattachments/2024/TBT/JPN/24_03889_00_e.pdf</d:t>
    </d:r>
  </si>
  <si>
    <t>Current Good Manufacturing Practice, Certification, Postmarketing Safety Reporting, and Labeling Requirements for Certain Medical Gases</t>
  </si>
  <si>
    <t xml:space="preserve">The Food and Drug Administration (FDA, the Agency, or we) is issuing a final rule revising the requirements concerning current good manufacturing practice (CGMP), postmarketing safety reporting, and labeling that apply to certain medical gases. This final rule also establishes regulations regarding certification of designated medical gases. This final rule satisfies the medical gas rulemaking requirements of the Consolidated Appropriations Act, 2017.This rule is effective 18 December 2025, except for the amendments to Sec. Sec. 4.2 (amendatory instruction 2), 4.3 (amendatory instruction 3), and 4.4 (amendatory instruction 4) (21 CFR 4.2, 4.3, and 4.4), which are effective 2 February 2026. The incorporation by reference of certain material listed in this rule has been approved by the Director of the Federal Register as of 2 February 2026.89 Federal Register (FR) 51738, Title 21 Code of Federal Regulations (CFR) Parts 416201210211213230314, and 514_x000D_
https://www.govinfo.gov/content/pkg/FR-2024-06-18/html/2024-13190.htm_x000D_
https://www.govinfo.gov/content/pkg/FR-2024-06-18/pdf/2024-13190.pdfThis final rule and the proposed rule notified as G/TBT/N/USA/1870 are identified by Docket Number FDA-2021-N-1333. The Docket Folder is available on Regulations.gov at https://www.regulations.gov/docket/FDA-2021-N-1333/document and provides access to primary and supporting documents as well as comments received. Documents are also accessible from Regulations.gov by searching the Docket Number.</t>
  </si>
  <si>
    <t>Quality (ICS code(s): 03.120); Anaesthetic, respiratory and reanimation (medical) equipment (ICS code(s): 11.040.10)</t>
  </si>
  <si>
    <t>03.120 - Quality; 03.120 - Quality; 11.040.10 - Anaesthetic, respiratory and reanimation equipment; 11.040.10 - Anaesthetic, respiratory and reanimation equipment</t>
  </si>
  <si>
    <t>Consumer information, labelling (TBT); Protection of human health or safety (TBT); Quality requirements (TBT); Cost saving and productivity enhancement (TBT)</t>
  </si>
  <si>
    <d:r xmlns:d="http://schemas.openxmlformats.org/spreadsheetml/2006/main">
      <d:rPr>
        <d:sz val="11"/>
        <d:rFont val="Calibri"/>
      </d:rPr>
      <d:t xml:space="preserve">https://members.wto.org/crnattachments/2024/TBT/USA/final_measure/24_03898_00_e.pdf</d:t>
    </d:r>
  </si>
  <si>
    <t>Partial Amendment of The Announcement that Prescribes Necessary Matters on Regulation, Etc. of Emissions from Non-road Special Motor Vehicles.  </t>
  </si>
  <si>
    <t>Amendments of exhaust gas regulations for Non-road Special Motor Vehicles fueled by gasoline or liquefied petroleum gas (LPG) as following; i) strengthen  ing of exhaust gas emissions limits, ii) introduction of   LSI-NRTC (Large Spark Ignition engines Non-Road Transient Cycle) and 7M-RMC (7 mode Ramped Modal Cycle) and iii) enforcement of installation of blow-by gas recirculation device</t>
  </si>
  <si>
    <t>- Other machinery, self-propelled: (HS code(s): 84264); Fork-lift trucks; other works trucks fitted with lifting or handling equipment (excl. straddle carriers and works trucks fitted with a crane) (HS code(s): 8427); Self-propelled bulldozers, angledozers, graders, levellers, scrapers, mechanical shovels, excavators, shovel loaders, tamping machines and roadrollers (HS code(s): 8429); Pile-drivers and pile-extractors (excl. those mounted on railway wagons, motor vehicle chassis or lorries) (HS code(s): 843010); Snowploughs and snowblowers (excl. those mounted on railway wagons, motor vehicle chassis or lorries) (HS code(s): 843020); Self-propelled coal or rock cutters and tunnelling machinery (excl. hydraulically operated self-advancing supports for mines) (HS code(s): 843031); Self-propelled boring or sinking machinery for boring earth or extracting minerals or ores (excl. those mounted on railway or tramway wagons, motor vehicle chassis or lorries and tunnelling machinery) (HS code(s): 843041); Self-propelled earth-moving machinery, n.e.s. (HS code(s): 843050); Ploughs for use in agriculture, horticulture or forestry (HS code(s): 843210); - Harrows, scarifiers, cultivators, weeders and hoes: (HS code(s): 84322); - Seeders, planters and transplanters: (HS code(s): 84323); - Manure spreaders and fertiliser distributors: (HS code(s): 84324); Agricultural, horticultural or forestry machinery for soil preparation or cultivation; lawn or sports-ground rollers (excl. sprayers and dusters, ploughs, harrows, scarifiers, cultivators, weeders, hoes, seeders, planters, manure spreaders and fertiliser distributors) (HS code(s): 843280); - Mowers for lawns, parks or sports-grounds: (HS code(s): 84331); Mowers, incl. cutter bars for tractor mounting (excl. mowers for lawns, parks or sports grounds) (HS code(s): 843320); Haymaking machinery (excl. mowers) (HS code(s): 843330); Straw or fodder balers, incl. pick-up balers (HS code(s): 843340); - Other harvesting machinery; threshing machinery: (HS code(s): 84335)</t>
  </si>
  <si>
    <t>843031 - Self-propelled coal or rock cutters and tunnelling machinery (excl. hydraulically operated self-advancing supports for mines); 843340 - Straw or fodder balers, incl. pick-up balers; 843330 - Haymaking machinery (excl. mowers); 843320 - Mowers, incl. cutter bars for tractor mounting (excl. mowers for lawns, parks or sports grounds); 84331 - - Mowers for lawns, parks or sports-grounds:; 843280 - Agricultural, horticultural or forestry machinery for soil preparation or cultivation; lawn or sports-ground rollers (excl. sprayers and dusters, ploughs, harrows, scarifiers, cultivators, weeders, hoes, seeders, planters, manure spreaders and fertiliser distributors); 84324 - - Manure spreaders and fertiliser distributors:; 84323 - - Seeders, planters and transplanters:; 84322 - - Harrows, scarifiers, cultivators, weeders and hoes:; 843210 - Ploughs for use in agriculture, horticulture or forestry; 843050 - Self-propelled earth-moving machinery, n.e.s.; 843041 - Self-propelled boring or sinking machinery for boring earth or extracting minerals or ores (excl. those mounted on railway or tramway wagons, motor vehicle chassis or lorries and tunnelling machinery); 843020 - Snowploughs and snowblowers (excl. those mounted on railway wagons, motor vehicle chassis or lorries); 843010 - Pile-drivers and pile-extractors (excl. those mounted on railway wagons, motor vehicle chassis or lorries); 8429 - Self-propelled bulldozers, angledozers, graders, levellers, scrapers, mechanical shovels, excavators, shovel loaders, tamping machines and roadrollers; 8427 - Fork-lift trucks; other works trucks fitted with lifting or handling equipment (excl. straddle carriers and works trucks fitted with a crane); 84335 - - Other harvesting machinery; threshing machinery:; 84264 - - Other machinery, self-propelled:</t>
  </si>
  <si>
    <d:r xmlns:d="http://schemas.openxmlformats.org/spreadsheetml/2006/main">
      <d:rPr>
        <d:sz val="11"/>
        <d:rFont val="Calibri"/>
      </d:rPr>
      <d:t xml:space="preserve">https://members.wto.org/crnattachments/2024/TBT/JPN/24_03902_00_e.pdf</d:t>
    </d:r>
  </si>
  <si>
    <t>The following communication, received on 20 June 2024, is being circulated at the request of the delegation of Costa Rica.</t>
  </si>
  <si>
    <t xml:space="preserve">•••See below table 001 •••Table001 |  Resolución para regular la importación de plantas con raíz con flores en macetas de Rosa (Rosa spp.) originarios de Países Bajos (Resolution regulating the importation of potted rose (Rosa spp.) plants with roots and flowers originating in the Netherlands)   | |  Costa Rica hereby advises that the phytosanitary measures notified in document G/SPS/N/CRI/264 have been adopted under Resolution No 051-2024-CV-ARP-SFE of the State Phytosanitary Service, Standards and Regulations Department, Pest Risk Analysis Unit, establishing phytosanitary requirements for the importation of potted rose (Rosa spp.) plants with roots and flowers originating in the Netherlands. The draft Resolution was circulated on 5 April 2024. The date of entry into force will be six months after signature of the final Resolution. https://members.wto.org/crnattachments/2024/SPS/CRI/24_03883_00_s.pdf   | |  This addendum concerns a:   | |</t>
  </si>
  <si>
    <t>Plantas de rosa (Rosa spp.), en macetas, con raíz y flores</t>
  </si>
  <si>
    <t>060240 - Roses, whether or not grafted; 060240 - Roses, whether or not grafted</t>
  </si>
  <si>
    <t>Plant health; Territory protection; Pest- or Disease- free Regions / Regionalization; Adoption/publication/entry into force of reg.; Pest- or Disease- free Regions / Regionalization; Territory protection; Plant health</t>
  </si>
  <si>
    <d:r xmlns:d="http://schemas.openxmlformats.org/spreadsheetml/2006/main">
      <d:rPr>
        <d:sz val="11"/>
        <d:rFont val="Calibri"/>
      </d:rPr>
      <d:t xml:space="preserve">https://members.wto.org/crnattachments/2024/SPS/CRI/24_03883_00_s.pdf</d:t>
    </d:r>
  </si>
  <si>
    <t>Rectification ofOrdinance No. 579, 5 December 2023</t>
  </si>
  <si>
    <t>National Institute of Metrology, Quality and Technology – Inmetro issued the Ordinance No. 579, 5 December 2023 that:Amends Inmetro Ordinances No. 282, of August 26, 2020, which establishes the risk classification of economic activities associated with acts of release under the responsibility of Inmetro within the scope of the Compulsory Conformity Assessment, revoking provisions to the contrary, No. 75 of 04 February 2021 previously notified through G/TBT/N/BRA/647/Add.2.The Ordinance No. 579, 5 December 2023, published in the Official Gazette of the Union on 5 December 2023, pages 75 to 76, section 1 was rectified.</t>
  </si>
  <si>
    <d:r xmlns:d="http://schemas.openxmlformats.org/spreadsheetml/2006/main">
      <d:rPr>
        <d:sz val="11"/>
        <d:rFont val="Calibri"/>
      </d:rPr>
      <d:t xml:space="preserve">
</d:t>
    </d:r>
  </si>
  <si>
    <t>ORDINANCE SDA/MAPA No. 1.129, of 14 June 2024</t>
  </si>
  <si>
    <t>Establishes phytosanitary requirements for the import of zinnia seeds (Zinnia spp.) of any origin.</t>
  </si>
  <si>
    <t>Zinnia seeds (Zinnia spp.)</t>
  </si>
  <si>
    <t>120930 - Seeds of herbaceous plants cultivated mainly for flowers, for sowing</t>
  </si>
  <si>
    <d:r xmlns:d="http://schemas.openxmlformats.org/spreadsheetml/2006/main">
      <d:rPr>
        <d:sz val="11"/>
        <d:rFont val="Calibri"/>
      </d:rPr>
      <d:t xml:space="preserve">https://members.wto.org/crnattachments/2024/SPS/BRA/24_03886_00_x.pdf
https://www.in.gov.br/web/dou/-/portaria-sda/mapa-n-1.129-de-14-de-junho-de-2024-566613167</d:t>
    </d:r>
  </si>
  <si>
    <t>Rectification of No. 579, 5 December 2023</t>
  </si>
  <si>
    <t>National Institute of Metrology, Quality and Technology – Inmetro issued the Ordinance No. 579, 5 December 2023 that:Amends Ordinance No. 282, of August 26, 2020, which establishes the risk classification of economic activities associated with acts of release under the responsibility of Inmetro within the scope of the Compulsory Conformity Assessment previously notified through G/TBT/N/BRA/1077/Add.2; and Amends Ordinance No. 35, 5 February 2021, which approves the Technical Quality Regulation and Conformity Assessment Requirements for Flexible Polyurethane Foam Mattresses and Mattresses – Consolidated previously notified through G/TBT/N/BRA/1077/Add.8.The Ordinance No. 579, 5 December 2023, published in the Official Gazette of the Union on 5 December 2023, pages 75 to 76, section 1 was rectified.</t>
  </si>
  <si>
    <t>Public Consultation No.5, 6 June 2024</t>
  </si>
  <si>
    <t> Proposes the incorporation into the national legal system of the Mercosur Technical Regulation for Cylinders for Storage of Vehicle Natural Gas (GNV), replacing the Mercosur Technical Regulation for Cylinders for Storage of Compressed Natural Gas (GNC) used as fuel, on board motor vehicles, approved by GMC Resolution No. 03/08.Comments must be presented on the Participa + Brasill platform at: https://www.gov.br/participamaisbrasil/inmetro-diretoria-de-avaliacao-da-conformidade</t>
  </si>
  <si>
    <t>Containers for compressed or liquefied gas, of iron or steel. (HS code(s): 7311); Pressure vessels (ICS code(s): 23.020.30)</t>
  </si>
  <si>
    <t>7311 - Containers for compressed or liquefied gas, of iron or steel.</t>
  </si>
  <si>
    <t>23.020.30 - Pressure vessels</t>
  </si>
  <si>
    <d:r xmlns:d="http://schemas.openxmlformats.org/spreadsheetml/2006/main">
      <d:rPr>
        <d:sz val="11"/>
        <d:rFont val="Calibri"/>
      </d:rPr>
      <d:t xml:space="preserve">https://www.in.gov.br/web/dou/-/consulta-publica-n-5-de-6-de-junho-de-2024-564264162 
https://sistema-sil.inmetro.gov.br/rtac/RTAC003048.pdf 
</d:t>
    </d:r>
  </si>
  <si>
    <t>Draft Order of the Ministry of Economy of Ukraine “On Amendments to the Orders of the Ministry of Economic Development and Trade of Ukraine No. 358 of 06 March 2019 and the Ministry for Development of Economy, Trade and Agriculture of Ukraine No. 1408 of 28 July 2020”</t>
  </si>
  <si>
    <t>Ukraine notifies the adoption of the Order of the Ministry of Economy of Ukraine No 12710 "On Amendments to the Orders of the Ministry of Economic Development and Trade of Ukraine No. 358 of 06 March 2019 and the Ministry for Development of Economy, Trade and Agriculture of Ukraine No. 1408 of 28 July 2020" of 16 May 2024.The Order was registered in the Ministry of Justice of Ukraine on 29 May 2024 and published on 14 June 2024.The Order will enter into force on 14 December 2024.</t>
  </si>
  <si>
    <t>Textile products; footwear</t>
  </si>
  <si>
    <d:r xmlns:d="http://schemas.openxmlformats.org/spreadsheetml/2006/main">
      <d:rPr>
        <d:sz val="11"/>
        <d:rFont val="Calibri"/>
      </d:rPr>
      <d:t xml:space="preserve">https://members.wto.org/crnattachments/2024/TBT/UKR/final_measure/24_03888_00_e.pdf
https://members.wto.org/crnattachments/2024/TBT/UKR/final_measure/24_03888_00_x.pdf
https://zakon.rada.gov.ua/laws/show/z0792-24#Text</d:t>
    </d:r>
  </si>
  <si>
    <t>DRS 224: 2024, Urwagwa — Specification</t>
  </si>
  <si>
    <t>This Draft Rwanda Standard specifies the requirements, sampling and test methods for Urwagwa.</t>
  </si>
  <si>
    <t>(ICS code(s): 67)</t>
  </si>
  <si>
    <t>220600 - Cider, perry, mead, saké and other fermented beverages and mixtures of fermented beverages and non-alcoholic beverages, n.e.s. (excl. beer, wine or fresh grapes, grape must, vermouth and other wine of fresh grapes flavoured with plants or aromatic substances)</t>
  </si>
  <si>
    <t>67.160.10 - Alcoholic beverages; 67 - Food technology</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</si>
  <si>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</si>
  <si>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d:r xmlns:d="http://schemas.openxmlformats.org/spreadsheetml/2006/main">
      <d:rPr>
        <d:sz val="11"/>
        <d:rFont val="Calibri"/>
      </d:rPr>
      <d:t xml:space="preserve">https://members.wto.org/crnattachments/2024/TBT/RWA/24_03873_00_e.pdf</d:t>
    </d:r>
  </si>
  <si>
    <t xml:space="preserve">Central American Technical Regulation (RTCA) No. 23.01.78:00: Electrical Products. Split-type, free-flow, ductless inverter air conditioners with variable refrigerant flow. Energy efficiency specifications. •••See below table 001 Description: The process to establish the equivalence between AHRI Standard 210/240-2017 and RTCA No. 23.01.78:20 is under way. The following certification numbers are associated with the validity of this equivalence: AHRI Certified Reference Number: AHRI 211497018 AHRI Certified Reference Number: AHRI 211497019 AHRI Certified Reference Number: AHRI 211497020 AHRI Certified Reference Number: AHRI 211497021 •••Table001 |  Reason for Addendum:   | |</t>
  </si>
  <si>
    <t xml:space="preserve">The process to establish the equivalence between AHRI Standard 210/240-2017 and RTCA No. 23.01.78:20 is under way. The following certification numbers are associated with the validity of this equivalence: AHRI Certified Reference Number: AHRI 211497018 AHRI Certified Reference Number: AHRI 211497019 AHRI Certified Reference Number: AHRI 211497020 AHRI Certified Reference Number: AHRI 211497021 •••Table001 |  Reason for Addendum:   | |</t>
  </si>
  <si>
    <d:r xmlns:d="http://schemas.openxmlformats.org/spreadsheetml/2006/main">
      <d:rPr>
        <d:sz val="11"/>
        <d:rFont val="Calibri"/>
      </d:rPr>
      <d:t xml:space="preserve">https://members.wto.org/crnattachments/2024/TBT/CRI/24_03846_00_s.pdf</d:t>
    </d:r>
  </si>
  <si>
    <t>Proyecto de Segunda Revisión del Reglamento Técnico Ecuatoriano PRTE 086 (2R) "Cascos de Seguridad y Protección"</t>
  </si>
  <si>
    <t>El presente reglamento técnico ecuatoriano se aplica a los siguientes productos sean estos nacionales e importados que se comercializan en el Ecuador:Cascos de seguridad de uso general y específico en la industria Cascos de protección para ciclistas y para usuarios de monopatines y patines de ruedasCascos de protección contra impactos para niñosCascos de protección para el uso de conductores y pasajeros de motocicletas.</t>
  </si>
  <si>
    <t>Sombreros y demás tocados, incl. guarnecidos, n.c.o.p. (Código(s) del SA: 6506)</t>
  </si>
  <si>
    <t>6506 - Headgear, whether or not lined or trimmed, n.e.s.</t>
  </si>
  <si>
    <d:r xmlns:d="http://schemas.openxmlformats.org/spreadsheetml/2006/main">
      <d:rPr>
        <d:sz val="11"/>
        <d:rFont val="Calibri"/>
      </d:rPr>
      <d:t xml:space="preserve">https://members.wto.org/crnattachments/2024/TBT/ECU/24_03871_00_s.pdf</d:t>
    </d:r>
  </si>
  <si>
    <t xml:space="preserve">Central American Technical Regulation (RTCA) No. 23.01.78:00: Electrical Products. Split-type, free-flow, ductless inverter air conditioners with variable refrigerant flow. Energy efficiency specifications. •••See below table 001 Description: The process to establish the equivalence between AHRI Standard 210/240-2017 and Central American Technical Regulation (RTCA) No. 23.01.78:20 is under way. The following certification numbers are associated with the validity of this equivalence: AHRI Certified Reference Number: AHRI 214025278 AHRI Certified Reference Number: AHRI 214010060 •••Table001 |  Reason for Addendum:   | |</t>
  </si>
  <si>
    <t xml:space="preserve">The process to establish the equivalence between AHRI Standard 210/240-2017 and Central American Technical Regulation (RTCA) No. 23.01.78:20 is under way. The following certification numbers are associated with the validity of this equivalence: AHRI Certified Reference Number: AHRI 214025278 AHRI Certified Reference Number: AHRI 214010060 •••Table001 |  Reason for Addendum:   | |</t>
  </si>
  <si>
    <d:r xmlns:d="http://schemas.openxmlformats.org/spreadsheetml/2006/main">
      <d:rPr>
        <d:sz val="11"/>
        <d:rFont val="Calibri"/>
      </d:rPr>
      <d:t xml:space="preserve">https://members.wto.org/crnattachments/2024/TBT/CRI/24_03848_00_s.pdf</d:t>
    </d:r>
  </si>
  <si>
    <t>Draft Commission Regulation amending Annex II to Regulation (EC) No 1333/2008 of the European Parliament and of the Council as regards the use of sorbic acid (E 200) and potassium sorbate (E 202) and the Annex to Commission Regulation (EU) No 231/2012 as regards the specifications for sorbic acid (E 200), potassium sorbate (E 202) and propyl gallate (E 310) (Text with EEA relevance)</t>
  </si>
  <si>
    <t>The text revises the EU specifications of the authorized food additives sorbic acid (E 200), potassium sorbate (E 202) and propyl gallate (E 310) and authorizes an extension of use of sorbic acid (E 200) and potassium sorbate (E 202) as preservatives in fruit-flavoured water-based gelatine desserts based on the recent scientific opinions from the European Food Safety Authority (EFSA). For sorbic acid (E 200) and potassium sorbate (E 202), the current specifications are adapted by reducing the maximum limits for toxic elements (arsenic, lead and mercury) and by establishing a maximum limit for zinc. Furthermore, the description of potassium sorbate (E 202) is amended by including the granular form.For propyl gallate (E 310), the current specifications are adapted by reducing the maximum limits for toxic elements and by restricting the use of catalysts in the manufacturing process of the food additive. The text also authorizes the use of sorbic acid (E 200) and potassium sorbate (E 202) in food category 16 ‘Desserts excluding products covered in categories 1, 3 and 4’ at a maximum level of 1000 mg/kg for fruit-flavoured water-based gelatine desserts.In order to allow for a smooth transition, the application of the new purity specifications for the food additives sorbic acid (E 200), potassium sorbate (E 202) and propyl gallate (E 310), and the definition of propyl gallate (E 310) is deferred and a transitional period is provided for food additives placed on the market before the date of application. Also, for foods containing sorbic acid (E 200), potassium sorbate (E 202) or propyl gallate (E 310) that have been lawfully placed on the market before the date of application, a transitional period is provided. </t>
  </si>
  <si>
    <d:r xmlns:d="http://schemas.openxmlformats.org/spreadsheetml/2006/main">
      <d:rPr>
        <d:sz val="11"/>
        <d:rFont val="Calibri"/>
      </d:rPr>
      <d:t xml:space="preserve">https://members.wto.org/crnattachments/2024/SPS/EEC/24_03860_00_e.pdf
https://members.wto.org/crnattachments/2024/SPS/EEC/24_03860_01_e.pdf</d:t>
    </d:r>
  </si>
  <si>
    <t>Proyecto de Tercera Revisión del Reglamento Técnico Ecuatoriano PRTE 181 (3R) “Equipos de protección respiratoria” a través del Punto de Contacto del MPCEIP</t>
  </si>
  <si>
    <t xml:space="preserve">El presente reglamento técnico ecuatoriano aplica a los siguientes productos sean estos nacionales o importados que se comercialicen en el Ecuador:_x000D_
Máscaras completas, para su utilización como equipos de protección respiratoria,Medias máscaras y cuarto de máscaras para utilizarse como parte de equipos de protección respiratoria,Medias máscaras filtrantes empleadas como dispositivos de protección respiratoria,Filtros contra partículas para su utilización como componentes de equipos de protección respiratoria no asistidos.Filtros para gases y filtros combinados que se utilizan como componentes en los equipos de protección respiratoria no asistidos.</t>
  </si>
  <si>
    <t>Artículos de plástico y manufacturas de las demás materias de las partidas 3901 a 3914, ncop (exc. productos de 9619) (Código(s) del SA: 392690); Artículos de materia textil, confeccionados, incl. los patrones para prendas de vestir, n.c.o.p. (Código(s) del SA: 630790); Los demás aparatos respiratorios y máscaras antigás, excepto las máscaras de protección sin mecanismo ni elemento filtrante amovible (Código(s) del SA: 9020)</t>
  </si>
  <si>
    <t>392690 - Articles of plastics and articles of other materials of heading 3901 to 3914, n.e.s (excl. goods of 9619); 630790 - Made-up articles of textile materials, incl. dress patterns, n.e.s.; 9020 - Other breathing appliances and gas masks, excluding protective masks having neither mechanical parts nor replaceable filters.</t>
  </si>
  <si>
    <t>13.340.30 - Respiratory protective devices</t>
  </si>
  <si>
    <d:r xmlns:d="http://schemas.openxmlformats.org/spreadsheetml/2006/main">
      <d:rPr>
        <d:sz val="11"/>
        <d:rFont val="Calibri"/>
      </d:rPr>
      <d:t xml:space="preserve">https://members.wto.org/crnattachments/2024/TBT/ECU/24_03870_00_s.pdf</d:t>
    </d:r>
  </si>
  <si>
    <t xml:space="preserve">Central American Technical Regulation (RTCA) No. 23.01.78:00: Electrical Products. Split-type, free-flow, ductless inverter air conditioners with variable refrigerant flow. Energy efficiency specifications. •••See below table 001 Description: The process to establish the equivalence between Air-Conditioning, Heating, and Refrigeration Institute (AHRI) Standard No. 210/240-2017 and Central American Technical Regulation (RTCA) No. 23.01.78:20 is under way. The following certification numbers are associated with the validity of this equivalence: AHRI Certified Reference Number: AHRI 210135429 AHRI Certified Reference Number: AHRI 209482326 AHRI Certified Reference Number: AHRI 210135430 •••Table001 |  Reason for Addendum:   | |</t>
  </si>
  <si>
    <t xml:space="preserve">The process to establish the equivalence between Air-Conditioning, Heating, and Refrigeration Institute (AHRI) Standard No. 210/240-2017 and Central American Technical Regulation (RTCA) No. 23.01.78:20 is under way. The following certification numbers are associated with the validity of this equivalence: AHRI Certified Reference Number: AHRI 210135429 AHRI Certified Reference Number: AHRI 209482326 AHRI Certified Reference Number: AHRI 210135430 •••Table001 |  Reason for Addendum:   | |</t>
  </si>
  <si>
    <d:r xmlns:d="http://schemas.openxmlformats.org/spreadsheetml/2006/main">
      <d:rPr>
        <d:sz val="11"/>
        <d:rFont val="Calibri"/>
      </d:rPr>
      <d:t xml:space="preserve">https://members.wto.org/crnattachments/2024/TBT/CRI/24_03845_00_s.pdf</d:t>
    </d:r>
  </si>
  <si>
    <t xml:space="preserve">Costa Rican Technical Regulation (RTCR) No. 503:2021. Electrical Products. Cookers, hobs, cooktops, induction hobs and electric ovens for domestic use. Energy efficiency requirements. •••See below table 001 Description: The process to establish the equivalence between CSA-C358-03 "Energy Consumption Test Methods for Household Electric Ranges" and Decree No. 43524/Costa Rican Technical Regulation (RTCR) No. 503:2021 is under way. Certain CSA Group models, classes and certification numbers for certified equipment are associated with the validity of this equivalence. •••Table001 |  Reason for Addendum:   | |</t>
  </si>
  <si>
    <t xml:space="preserve">The process to establish the equivalence between CSA-C358-03 "Energy Consumption Test Methods for Household Electric Ranges" and Decree No. 43524/Costa Rican Technical Regulation (RTCR) No. 503:2021 is under way. Certain CSA Group models, classes and certification numbers for certified equipment are associated with the validity of this equivalence. •••Table001 |  Reason for Addendum:   | |</t>
  </si>
  <si>
    <d:r xmlns:d="http://schemas.openxmlformats.org/spreadsheetml/2006/main">
      <d:rPr>
        <d:sz val="11"/>
        <d:rFont val="Calibri"/>
      </d:rPr>
      <d:t xml:space="preserve">https://members.wto.org/crnattachments/2024/TBT/CRI/24_03849_00_s.pdf</d:t>
    </d:r>
  </si>
  <si>
    <t>Draft Resolution of the Cabinet of Ministers of Ukraine “On Amendments to Paragraph 2 of the Resolution of the Cabinet of Ministers of Ukraine of 26 January 2022 No. 53”</t>
  </si>
  <si>
    <t>Ukraine notifies the adoption of the Resolution of the Cabinet of Ministers of Ukraine No. 692  “On Amendments to Paragraph 2 of the Resolution of the Cabinet of Ministers of Ukraine of 26 January 2022 No. 53” of 13 June 2024.The Resolution was published  and entered into force on 15 June 2024.</t>
  </si>
  <si>
    <t>Railway rolling stock and railway infrastructure</t>
  </si>
  <si>
    <t>8607 - Parts of railway or tramway locomotives or rolling stock, n.e.s.; 7302 - 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specialised for jointing or fixing rails; 7302 - 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specialised for jointing or fixing rails; 8607 - Parts of railway or tramway locomotives or rolling stock, n.e.s.</t>
  </si>
  <si>
    <t>45.060 - Railway rolling stock; 45.060 - Railway rolling stock</t>
  </si>
  <si>
    <d:r xmlns:d="http://schemas.openxmlformats.org/spreadsheetml/2006/main">
      <d:rPr>
        <d:sz val="11"/>
        <d:rFont val="Calibri"/>
      </d:rPr>
      <d:t xml:space="preserve">https://members.wto.org/crnattachments/2024/TBT/UKR/final_measure/24_03858_00_e.pdf
https://members.wto.org/crnattachments/2024/TBT/UKR/final_measure/24_03858_00_x.pdf
https://zakon.rada.gov.ua/laws/show/692-2024-%D0%BF#Text</d:t>
    </d:r>
  </si>
  <si>
    <t>Correction of Inmetro Ordinance No. 379, 14 September 2021, published in the Official Gazette of the Union on 20 September 2021, page 17 to 29, section 1.</t>
  </si>
  <si>
    <t>https://www.in.gov.br/en/web/dou/-/retificacao-564262922</t>
  </si>
  <si>
    <t>Tyres (HS 4011).</t>
  </si>
  <si>
    <t>4011 - New pneumatic tyres, of rubber; 4011 - New pneumatic tyres, of rubber; 4011 - New pneumatic tyres, of rubber</t>
  </si>
  <si>
    <t>83.160 - Tyres; 83.160 - Tyres; 83.160 - Tyres</t>
  </si>
  <si>
    <t>Amendment of the compulsory specification for frozen fish, frozen marine molluscs and frozen products derived therefrom </t>
  </si>
  <si>
    <t>This amendment requires that frozen fish, marine molluscs, and products derived therefrom, for human consumption, which are to be offered for sale, comply with this amended compulsory specification which introduces that imported products are produced in food handling/manufacturing facilities that comply with Good Hygiene Practices (GHP) that are approved/certified by Competent Authorities in their country of origin. The introduction of a health guarantee/import certification requires Competent Authority in the country of origin attests to monitoring safety of facilities and consignments on the certificate, similar to processes conducted by authorities for local production. The technical requirements of the South African National Standard (SANS) 585: 2024 are that applies to the handling, preparation, processing, packing, transportation, freezing, storage and quality are still applicable to support this amendment.</t>
  </si>
  <si>
    <t>Frozen fish, frozen marine molluscs, and frozen products derived therefrom; FISH AND CRUSTACEANS, MOLLUSCS AND OTHER AQUATIC INVERTEBRATES (HS code(s): 03); PREPARATIONS OF MEAT, OF FISH, OF CRUSTACEANS, MOLLUSCS OR OTHER AQUATIC INVERTEBRATES, OR OF INSECTS (HS code(s): 16); Agriculture (ICS code(s): 65); Food technology (ICS code(s): 67)</t>
  </si>
  <si>
    <t>03 - FISH AND CRUSTACEANS, MOLLUSCS AND OTHER AQUATIC INVERTEBRATES; 16 - PREPARATIONS OF MEAT, OF FISH, OF CRUSTACEANS, MOLLUSCS OR OTHER AQUATIC INVERTEBRATES, OR OF INSECTS; 0308 - Aquatic invertebrates other than crustaceans and molluscs, live, fresh, chilled, frozen, dried, salted or in brine, even smoked; 0307 - Molluscs, fit for human consumption, even smoked, whether in shell or not, live, fresh, chilled, frozen, dried, salted or in brine; 03048 - - Frozen fillets of other fish:; 03047 - - Frozen fillets of fish of the families Bregmacerotidae, Euclichthyidae, Gadidae, Macrouridae, Melanonidae, Merlucciidae, Moridae and Muraenolepididae:; 03046 - - Frozen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0303 - Frozen fish (excl. fish fillets and other fish meat of heading 0304)</t>
  </si>
  <si>
    <t>67.120.30 - Fish and fishery products; 65 - Agriculture; 67 - Food technology</t>
  </si>
  <si>
    <d:r xmlns:d="http://schemas.openxmlformats.org/spreadsheetml/2006/main">
      <d:rPr>
        <d:sz val="11"/>
        <d:rFont val="Calibri"/>
      </d:rPr>
      <d:t xml:space="preserve">https://members.wto.org/crnattachments/2024/TBT/ZAF/24_03850_00_e.pdf</d:t>
    </d:r>
  </si>
  <si>
    <t>Draft resolution 1263, 13 June 2024</t>
  </si>
  <si>
    <t>This draft resolution proposes a Normative Instruction that updates the composition of Covid-19 vaccines to be used in Brazil.</t>
  </si>
  <si>
    <d:r xmlns:d="http://schemas.openxmlformats.org/spreadsheetml/2006/main">
      <d:rPr>
        <d:sz val="11"/>
        <d:rFont val="Calibri"/>
      </d:rPr>
      <d:t xml:space="preserve">https://members.wto.org/crnattachments/2024/TBT/BRA/24_03843_00_x.pdf
The final text is available only in Portuguese and can be downloaded at: 
https://antigo.anvisa.gov.br/documents/10181/6770142/CONSULTA+PUBLICA+N%C2%BA+1263+GGBIO.pdf/ab070b32-d4d7-43bc-b542-2c0e6886041c
</d:t>
    </d:r>
  </si>
  <si>
    <t>Amendment to the Ministry for Primary Industries (MPI) import health standard 155.02.06: Importation of Nursery Stock</t>
  </si>
  <si>
    <t>MPI has issued an amended import health standard 155.02.06: Importation of Nursery Stock effective 14 June 2024.Addition phytosanitary measures for the management of 11 phytoplasmas on 43 ornamental host genera using a new approach that considers history of trade to help identify measures. These measures will come into force on 14 March 2025. The amendments include:Amendment to the phytoplasmas listed as quarantine pests in the Rosa schedule;Removal of measures for phytoplasmas for AcrocomiaHippeastrum and ZantedeschiaAdoption date of regulation: 14 June 2024</t>
  </si>
  <si>
    <t>Plants for planting, including whole plants, cuttings, bulbs and tissue cultures (plants in vitro</t>
  </si>
  <si>
    <d:r xmlns:d="http://schemas.openxmlformats.org/spreadsheetml/2006/main">
      <d:rPr>
        <d:sz val="11"/>
        <d:rFont val="Calibri"/>
      </d:rPr>
      <d:t xml:space="preserve">https://members.wto.org/crnattachments/2024/SPS/NZL/24_03824_00_e.pdf</d:t>
    </d:r>
  </si>
  <si>
    <t>Establish conditions for the importation of Artemia and Artemia cysts in B.E. 2567</t>
  </si>
  <si>
    <t>This regulation aims to control and prevent epidemics caused by Artemia and Artemia cysts, which are classified as other types of animals according to the notification of the Ministry of Agriculture and Cooperatives specifying such animals under the Animal Epidemics Act B.E. 2558 dated 27 June 2024 and the Animal Epidemics Act B.E. 2565, (d) invertebrates (2) crab, shrimp, mantis shrimp and other in Phylum Crustacea, are restricted from spreading within the country due to imports. This restriction aims to prevent potential impacts on the country's marine shrimp industry and ensure alignment with the current imports of Artemia and Artemia cysts.By virtue of the provisions of Section 2 of the Department of Livestock Development's Order No. 309/2566, assigning the issuance of permits and setting conditions for the import, export, or transit of animals or animal carcasses, dated 31 March 2024 under the Animal Epidemics Act B.E. 2566, the Director-General of the Department of Fisheries hereby cancels the Department of Fisheries notification entitled Establish conditions for the importation of Artemia and Artemia cysts B.E. 2566, dated 29 May 2024 under the Animal Epidemics Act B.E. 2566, and issues the notification entitled Establish conditions for the importation of Artemia and Artemia cysts B.E. 2567.</t>
  </si>
  <si>
    <t>Artemia (Artemiasp.) andArtemia cyst</t>
  </si>
  <si>
    <d:r xmlns:d="http://schemas.openxmlformats.org/spreadsheetml/2006/main">
      <d:rPr>
        <d:sz val="11"/>
        <d:rFont val="Calibri"/>
      </d:rPr>
      <d:t xml:space="preserve">https://members.wto.org/crnattachments/2024/SPS/THA/24_03828_00_e.pdf
https://members.wto.org/crnattachments/2024/SPS/THA/24_03828_00_x.pdf</d:t>
    </d:r>
  </si>
  <si>
    <t>The following communication, received on 19 June 2024, is being circulated at the request of the delegation of Chile.</t>
  </si>
  <si>
    <t xml:space="preserve">•••See below table 001 •••Table001 |  Resolución Exenta 3.474/2024: Establece requisitos fitosanitarios de importación de heno de alfalfa (Medicago sativa), destinados a consumo animal, producido en Argentina, y deroga Resolución No 1.102 de 2021 (Exempt Resolution No. 3.474/2024: Establishing phytosanitary requirements for imports of alfalfa (Medicago sativa) hay produced in Argentina destined for animal consumption, and repealing Resolution No. 1.102 of 2021)   | |  Chile hereby advises that "Exempt Resolution No. 3.474/2024: Establishing phytosanitary requirements for imports of alfalfa (Medicago sativa) hay produced in Argentina destined for animal consumption, and repealing Resolution No. 1.102 of 2021" entered into force on 3 June 2024. https://members.wto.org/crnattachments/2024/SPS/CHL/24_03859_00_s.pdf   | |  This addendum concerns a:   | |</t>
  </si>
  <si>
    <t>Heno de alfalfa (Medicago sativa</t>
  </si>
  <si>
    <t>121490 - Swedes, mangolds, fodder roots, hay, lucerne "alfalfa", clover, sainfoin, forage kale, lupines, vetches and similar forage products, whether or not in the form of pellets (excl. lucerne "alfalfa" meal and pellets); 121490 - Swedes, mangolds, fodder roots, hay, lucerne "alfalfa", clover, sainfoin, forage kale, lupines, vetches and similar forage products, whether or not in the form of pellets (excl. lucerne "alfalfa" meal and pellets)</t>
  </si>
  <si>
    <t>Animal health (SPS); Plant protection (SPS)</t>
  </si>
  <si>
    <t>Adoption/publication/entry into force of reg.; Animal health; Plant health; Animal feed; Pests; Animal diseases; Animal diseases; Plant health; Animal health; Pests; Animal feed</t>
  </si>
  <si>
    <d:r xmlns:d="http://schemas.openxmlformats.org/spreadsheetml/2006/main">
      <d:rPr>
        <d:sz val="11"/>
        <d:rFont val="Calibri"/>
      </d:rPr>
      <d:t xml:space="preserve">https://members.wto.org/crnattachments/2024/SPS/CHL/24_03859_00_s.pdf</d:t>
    </d:r>
  </si>
  <si>
    <t>Compulsory specification for dried abalone – VC 9108.</t>
  </si>
  <si>
    <t>The harvest, manufacture, processing, transport, handling and treatment of dried abalone, as well as the requirements for the ingredients, shall comply with the requirements of the latest edition of SANS 2329.</t>
  </si>
  <si>
    <t>Dried abalone.; FISH AND CRUSTACEANS, MOLLUSCS AND OTHER AQUATIC INVERTEBRATES (HS code(s): 03); PREPARATIONS OF MEAT, OF FISH, OF CRUSTACEANS, MOLLUSCS OR OTHER AQUATIC INVERTEBRATES, OR OF INSECTS (HS code(s): 16); Agriculture (ICS code(s): 65); Food technology (ICS code(s): 67)</t>
  </si>
  <si>
    <t>03 - FISH AND CRUSTACEANS, MOLLUSCS AND OTHER AQUATIC INVERTEBRATES; 16 - PREPARATIONS OF MEAT, OF FISH, OF CRUSTACEANS, MOLLUSCS OR OTHER AQUATIC INVERTEBRATES, OR OF INSECTS; 030783 - Frozen, even in shell, abalone "Haliotis spp."</t>
  </si>
  <si>
    <d:r xmlns:d="http://schemas.openxmlformats.org/spreadsheetml/2006/main">
      <d:rPr>
        <d:sz val="11"/>
        <d:rFont val="Calibri"/>
      </d:rPr>
      <d:t xml:space="preserve">https://members.wto.org/crnattachments/2024/TBT/ZAF/24_03852_00_e.pdf</d:t>
    </d:r>
  </si>
  <si>
    <t>Draft Order of the Ministry of Health of Ukraine "On Approval of Amendments to the Procedure for Confirmation of Compliance of Medicinal Products Manufacturing Conditions with the Requirements of Good Manufacturing Practice"</t>
  </si>
  <si>
    <t>Ukraine notifies the adoption of the Order of the Ministry of Health of Ukraine No 787 "On Approval of Amendments to the Procedure for Confirmation of Compliance of Medicinal Products Manufacturing Conditions with the Requirements of Good Manufacturing Practice" of 06 May 2024.The Order was registered in the Ministry of Justice of Ukraine on 21 May 2024 and published on 14 June 2024.The Order entered into force on 14 June 2024.</t>
  </si>
  <si>
    <t>Medicinal products </t>
  </si>
  <si>
    <d:r xmlns:d="http://schemas.openxmlformats.org/spreadsheetml/2006/main">
      <d:rPr>
        <d:sz val="11"/>
        <d:rFont val="Calibri"/>
      </d:rPr>
      <d:t xml:space="preserve">https://members.wto.org/crnattachments/2024/TBT/UKR/final_measure/24_03862_00_e.pdf
https://members.wto.org/crnattachments/2024/TBT/UKR/final_measure/24_03862_00_x.pdf
https://zakon.rada.gov.ua/laws/show/z0739-24#Text</d:t>
    </d:r>
  </si>
  <si>
    <t>Correction of Article 2 of Inmetro Ordinance No. 385, 17f September 2021, published in the Official Gazette of the Union on 20 September 2021, page 30, section 1.</t>
  </si>
  <si>
    <t>https://www.in.gov.br/en/web/dou/-/retificacao-564241680</t>
  </si>
  <si>
    <t>Sterile hypodermic syringes for single use (HS 9018.3).</t>
  </si>
  <si>
    <t>90183 - - Syringes, needles, catheters, cannulae and the like:; 90183 - - Syringes, needles, catheters, cannulae and the like:; 90183 - - Syringes, needles, catheters, cannulae and the like:</t>
  </si>
  <si>
    <t>11.040.25 - Syringes, needles and catheters; 11.040.25 - Syringes, needles and catheters; 11.040.25 - Syringes, needles and catheters</t>
  </si>
  <si>
    <t>Draft Decision of the Council of the Eurasian Economic Commission on the Rules for regulation of the circulation of feed additives within the customs territory of the Eurasian Economic Union</t>
  </si>
  <si>
    <t xml:space="preserve">The draft provides for the approval of the Rules for regulation of the circulation of feed additives within the customs territory of the Eurasian Economic Union (hereinafter - the Union), which include:_x000D_
- common rules for regulation of the circulation of feed additives;_x000D_
- a common procedure for the registration of feed additives, as well as other procedures related to registration;_x000D_
- a common assessment procedure with respect to the quality, safety and efficiency of feed additives, as well as criteria for their assessment;_x000D_
- common principles of information exchange while organizing and conducting state control (supervision) in the field of feed additives circulation;_x000D_
- common registration forms;_x000D_
- a common register of feed additives inscribed under unified Union rules;_x000D_
- a common information database on low-quality, unsafe feed additives, falsified and (or) counterfeit feed additives detected under state control (supervision) with respect to feed additives circulation;_x000D_
- a common database on animals’ adverse reaction on feed additives;_x000D_
- a common register of producers of feed additives, the production of which is recognized to comply with the Union’s unified requirements.</t>
  </si>
  <si>
    <t xml:space="preserve">Central American Technical Regulation (RTCA) No. 23.01.78:00: Electrical Products. Split-type, free-flow, ductless inverter air conditioners with variable refrigerant flow. Energy efficiency specifications. •••See below table 001 Description: The process to establish the equivalence between AHRI Standard 210/240-2017 and Central American Technical Regulation (RTCA) No. 23.01.78:20 is under way. The following certification numbers are associated with the validity of this equivalence: AHRI Certified Reference Number: AHRI 214640556 AHRI Certified Reference Number: AHRI 214640557 AHRI Certified Reference Number: AHRI 214640558 AHRI Certified Reference Number: AHRI 214640559 AHRI Certified Reference Number: AHRI 214640560 AHRI Certified Reference Number: AHRI 214640561 •••Table001 |  Reason for Addendum:   | |</t>
  </si>
  <si>
    <t xml:space="preserve">The process to establish the equivalence between AHRI Standard 210/240-2017 and Central American Technical Regulation (RTCA) No. 23.01.78:20 is under way. The following certification numbers are associated with the validity of this equivalence: AHRI Certified Reference Number: AHRI 214640556 AHRI Certified Reference Number: AHRI 214640557 AHRI Certified Reference Number: AHRI 214640558 AHRI Certified Reference Number: AHRI 214640559 AHRI Certified Reference Number: AHRI 214640560 AHRI Certified Reference Number: AHRI 214640561 •••Table001 |  Reason for Addendum:   | |</t>
  </si>
  <si>
    <d:r xmlns:d="http://schemas.openxmlformats.org/spreadsheetml/2006/main">
      <d:rPr>
        <d:sz val="11"/>
        <d:rFont val="Calibri"/>
      </d:rPr>
      <d:t xml:space="preserve">https://members.wto.org/crnattachments/2024/TBT/CRI/24_03861_00_s.pdf</d:t>
    </d:r>
  </si>
  <si>
    <t>Amendment of a Compulsory Specification for chilled smoked finfish and smoke-flavoured finfish (VC8021)</t>
  </si>
  <si>
    <t>This Compulsory Specification requires that chilled smoked finfish and smoke-flavoured finfish (VC8021), which are to be offered for sale, comply with this Compulsory Specification and the requirements of the latest edition of the South African National Standard (SANS) 2877 that apply to the handling, preparation, processing, packing, transportation, storage and quality of smoked finfish, smoke-flavoured finfish and products derived therefrom, as well as the requirements for the ingredients of the products covered by this specification. The hygiene requirements for the product, as well as chemical and microbiological contaminant requirements for the product, and the requirements for employees at the packing facility, shall comply with the requirements of the latest edition of SANS 2877.</t>
  </si>
  <si>
    <t>Chilled smoked finfish and smoke-flavoured finfish; FISH AND CRUSTACEANS, MOLLUSCS AND OTHER AQUATIC INVERTEBRATES (HS code(s): 03); PREPARATIONS OF MEAT, OF FISH, OF CRUSTACEANS, MOLLUSCS OR OTHER AQUATIC INVERTEBRATES, OR OF INSECTS (HS code(s): 16); Agriculture (ICS code(s): 65); Food technology (ICS code(s): 67)</t>
  </si>
  <si>
    <t>03 - FISH AND CRUSTACEANS, MOLLUSCS AND OTHER AQUATIC INVERTEBRATES; 16 - PREPARATIONS OF MEAT, OF FISH, OF CRUSTACEANS, MOLLUSCS OR OTHER AQUATIC INVERTEBRATES, OR OF INSECTS; 0305 - Fish, fit for human consumption, dried, salted or in brine; smoked fish, fit for human consumption, whether or not cooked before or during the smoking process</t>
  </si>
  <si>
    <d:r xmlns:d="http://schemas.openxmlformats.org/spreadsheetml/2006/main">
      <d:rPr>
        <d:sz val="11"/>
        <d:rFont val="Calibri"/>
      </d:rPr>
      <d:t xml:space="preserve">https://members.wto.org/crnattachments/2024/TBT/ZAF/24_03853_00_e.pdf</d:t>
    </d:r>
  </si>
  <si>
    <t>Proyecto de Segunda Revisión del Reglamento Técnico Ecuatoriano PRTE 215 (2R) " Protectores auditivos".</t>
  </si>
  <si>
    <t xml:space="preserve">El presente reglamento técnico ecuatoriano aplica a los siguientes productos sean estos nacionales o importados que se comercialicen en el Ecuador:_x000D_
OrejerasTapones para oídosOrejeras acopladas a los equipos de protección de cabeza y/o cara</t>
  </si>
  <si>
    <t>Artículos de plástico y manufacturas de las demás materias de las partidas 3901 a 3914, ncop (exc. productos de 9619) (Código(s) del SA: 392690)</t>
  </si>
  <si>
    <t>392690 - Articles of plastics and articles of other materials of heading 3901 to 3914, n.e.s (excl. goods of 9619)</t>
  </si>
  <si>
    <d:r xmlns:d="http://schemas.openxmlformats.org/spreadsheetml/2006/main">
      <d:rPr>
        <d:sz val="11"/>
        <d:rFont val="Calibri"/>
      </d:rPr>
      <d:t xml:space="preserve">https://members.wto.org/crnattachments/2024/TBT/ECU/24_03769_00_s.pdf</d:t>
    </d:r>
  </si>
  <si>
    <t>DRS 577: 2024, Sugarcane wine — Specification</t>
  </si>
  <si>
    <t>This Draft Rwanda Standard specifies the requirements, sampling and test methods for sugarcane wine prepared from sugarcane juice.</t>
  </si>
  <si>
    <t>Alcoholic beverages (ICS code(s): 67.160.10)</t>
  </si>
  <si>
    <d:r xmlns:d="http://schemas.openxmlformats.org/spreadsheetml/2006/main">
      <d:rPr>
        <d:sz val="11"/>
        <d:rFont val="Calibri"/>
      </d:rPr>
      <d:t xml:space="preserve">https://members.wto.org/crnattachments/2024/TBT/RWA/24_03872_00_e.pdf</d:t>
    </d:r>
  </si>
  <si>
    <t>Amendment of the Compulsory Specification for frozen shrimps (prawns), langoustines and crabs, and products derived therefrom, (VC 8031).</t>
  </si>
  <si>
    <t>This amendment requires that frozen shrimps (prawns), langoustines and crabs, and products derived therefrom, for human consumption, which are to be offered for sale, comply with this amended compulsory specification which introduces that imported products are produced in food handling/manufacturing facilities that comply with Good Hygiene Practices (GHP) that are approved/certified by Competent Authorities in their country of origin. The introduction of a health guarantee/import certification requires Competent Authority in the country of origin attests to monitoring safety of facilities and consignments on the certificate, similar to processes conducted by authorities for local production. The technical requirements of the South African National Standard (SANS) 788: 2024 are that applies to the handling, preparation, processing, packing, transportation, freezing, storage and quality are still applicable to support this amendment.</t>
  </si>
  <si>
    <t>Frozen shrimps (prawns), langoustines and crabs, and products derived therefrom. HS codes 03, 16; FISH AND CRUSTACEANS, MOLLUSCS AND OTHER AQUATIC INVERTEBRATES (HS code(s): 03); PREPARATIONS OF MEAT, OF FISH, OF CRUSTACEANS, MOLLUSCS OR OTHER AQUATIC INVERTEBRATES, OR OF INSECTS (HS code(s): 16); Agriculture (ICS code(s): 65); Food technology (ICS code(s): 67)</t>
  </si>
  <si>
    <t>03 - FISH AND CRUSTACEANS, MOLLUSCS AND OTHER AQUATIC INVERTEBRATES; 16 - PREPARATIONS OF MEAT, OF FISH, OF CRUSTACEANS, MOLLUSCS OR OTHER AQUATIC INVERTEBRATES, OR OF INSECTS; 030617 - Frozen shrimps and prawns, even smoked, whether in shell or not, incl. shrimps and prawns in shell, cooked by steaming or by boiling in water (excl. cold-water shrimps and prawns); 030614 - Frozen crabs, even smoked, whether in shell or not, incl. crabs in shell, cooked by steaming or by boiling in water</t>
  </si>
  <si>
    <d:r xmlns:d="http://schemas.openxmlformats.org/spreadsheetml/2006/main">
      <d:rPr>
        <d:sz val="11"/>
        <d:rFont val="Calibri"/>
      </d:rPr>
      <d:t xml:space="preserve">https://members.wto.org/crnattachments/2024/TBT/ZAF/24_03851_00_e.pdf</d:t>
    </d:r>
  </si>
  <si>
    <t>Public Consultation No. 6, 6 June 2024</t>
  </si>
  <si>
    <t>National Institute of Metrology, Quality and Technology – INMETRO amended Ordinance No. 497, 13 December 2021, which approves the Technical Regulation for Low Voltage Electrical Devices - Consolidated.Comments must be presented on the Participa + Brasill platform at: https://www.gov.br/participamaisbrasil/inmetro-diretoria-de-avaliacao-da-conformidade</t>
  </si>
  <si>
    <t>ELECTRICAL MACHINERY AND EQUIPMENT AND PARTS THEREOF; SOUND RECORDERS AND REPRODUCERS, TELEVISION IMAGE AND SOUND RECORDERS AND REPRODUCERS, AND PARTS AND ACCESSORIES OF SUCH ARTICLES (HS code(s): 85); Road vehicle systems (ICS code(s): 43.040)</t>
  </si>
  <si>
    <d:r xmlns:d="http://schemas.openxmlformats.org/spreadsheetml/2006/main">
      <d:rPr>
        <d:sz val="11"/>
        <d:rFont val="Calibri"/>
      </d:rPr>
      <d:t xml:space="preserve">https://www.in.gov.br/en/web/dou/-/consulta-publica-n-6-de-6-de-junho-de-2024-*-564568046 
https://sistema-sil.inmetro.gov.br/rtac/RTAC003045.pdf 
</d:t>
    </d:r>
  </si>
  <si>
    <t>CNCA-C11-22：2024：Compulsory product certification implementation rules for charger for electric bicycle</t>
  </si>
  <si>
    <t xml:space="preserve">This document specifies the scope of application, certification criteria, certification mode, certification unit division, certification application, certification implementation, post certification supervision, certification certificate, certification mark, fees, certification responsibilities and certification implementation rules for charger for electric bicycle._x000D_
This document applies to the compulsory product certification of charger for electric bicycle.</t>
  </si>
  <si>
    <t>charger for electric bicycle (HS code(s): 850440); (ICS code(s): 43.140)</t>
  </si>
  <si>
    <d:r xmlns:d="http://schemas.openxmlformats.org/spreadsheetml/2006/main">
      <d:rPr>
        <d:sz val="11"/>
        <d:rFont val="Calibri"/>
      </d:rPr>
      <d:t xml:space="preserve">https://members.wto.org/crnattachments/2024/TBT/CHN/24_03829_00_s.pdf</d:t>
    </d:r>
  </si>
  <si>
    <t>National Standard of the P.R.C., Road illumination devices for motorcycles and mopeds</t>
  </si>
  <si>
    <t xml:space="preserve">This document specifies the terms and definitions, classes and different types, technical requirements, test methods, and inspection rules, etc. for road illumination devices for motorcycles and mopeds. _x000D_
This document applies to road illumination devices for motorcycles and mopeds.</t>
  </si>
  <si>
    <t>Road illumination devices for motorcycles and mopeds (HS code(s): 87); (ICS code(s): 43.040.20)</t>
  </si>
  <si>
    <d:r xmlns:d="http://schemas.openxmlformats.org/spreadsheetml/2006/main">
      <d:rPr>
        <d:sz val="11"/>
        <d:rFont val="Calibri"/>
      </d:rPr>
      <d:t xml:space="preserve">https://members.wto.org/crnattachments/2024/TBT/CHN/24_03834_00_x.pdf</d:t>
    </d:r>
  </si>
  <si>
    <t>National Standard of the P.R.C., Foundry Machinery—Safety requirements</t>
  </si>
  <si>
    <t xml:space="preserve">This document specifies the safety requirements for foundry machinery, including general requirements, special requirements, and usage information requirements for foundry machinery safety. _x000D_
This document applies to the design and manufacture of foundry machinery.</t>
  </si>
  <si>
    <t>foundry machinery (HS code(s): 8454); (ICS code(s): 25.120.30)</t>
  </si>
  <si>
    <t>8454 - Converters, ladles, ingot moulds and casting machines of a kind used in metallurgy or in metal foundries (excl. metal powder presses); parts thereof</t>
  </si>
  <si>
    <t>25.120.30 - Moulding equipment</t>
  </si>
  <si>
    <d:r xmlns:d="http://schemas.openxmlformats.org/spreadsheetml/2006/main">
      <d:rPr>
        <d:sz val="11"/>
        <d:rFont val="Calibri"/>
      </d:rPr>
      <d:t xml:space="preserve">https://members.wto.org/crnattachments/2024/TBT/CHN/24_03831_00_x.pdf</d:t>
    </d:r>
  </si>
  <si>
    <t>Nicotine Replacement Therapy Supplementary Rules Order</t>
  </si>
  <si>
    <t>The Nicotine Replacement Therapy Supplementary Rules Order is a Ministerial Order (this Order) that applies to nicotine replacement therapies for administration in the oral cavity and that are regulated under the Natural Health Products Regulations for use in smoking cessation by adults who smoke. The specific supplementary rules for nicotine replacement therapies included in this Order are: restricting sale to behind the counter in pharmacies for products that do not have a history of appropriate use; requiring warning statements about the addictive nature of nicotine on product labels and in advertisements;restricting advertising and promotion that could be appealing to young people; restricting packaging and labelling that could be appealing to young people; and limiting flavours.  </t>
  </si>
  <si>
    <t>11.120.10 - Medicaments</t>
  </si>
  <si>
    <d:r xmlns:d="http://schemas.openxmlformats.org/spreadsheetml/2006/main">
      <d:rPr>
        <d:sz val="11"/>
        <d:rFont val="Calibri"/>
      </d:rPr>
      <d:t xml:space="preserve">https://www.canada.ca/en/health-canada/services/drugs-health-products/natural-non-prescription/notice-intent-address-risks-youth-appeal-access-nicotine-replacement-therapies.html (English)
https://www.canada.ca/fr/sante-canada/services/medicaments-produits-sante/naturels-sans-ordonnance/avis-intention-concernant-risques-attrait-acces-jeunes-therapies-remplacement-nicotine.html (French)</d:t>
    </d:r>
  </si>
  <si>
    <t>National Standard of the P.R.C., Light-signalling devices for motorcycles and mopeds</t>
  </si>
  <si>
    <t xml:space="preserve">This document specifies the technical requirements, test methods and inspection rules etc. for light-signalling devices for motorcycles and mopeds . _x000D_
This document applies to front position lamps, rear position lamps, stop lamps, direction-indicator lamps, reversing lamps and rear-registration plate illuminating devices for motorcycles and mopeds.</t>
  </si>
  <si>
    <t>Light-signalling Devices for Motorcycles and Mopeds  (HS code(s): 87); (ICS code(s): 43.040.20)</t>
  </si>
  <si>
    <d:r xmlns:d="http://schemas.openxmlformats.org/spreadsheetml/2006/main">
      <d:rPr>
        <d:sz val="11"/>
        <d:rFont val="Calibri"/>
      </d:rPr>
      <d:t xml:space="preserve">https://members.wto.org/crnattachments/2024/TBT/CHN/24_03835_00_x.pdf</d:t>
    </d:r>
  </si>
  <si>
    <t>The DLD order on temporary suspension of the importation or transit of live poultry and poultry carcasses from Indonesia to prevent the spread of Highly Pathogenic Avian Influenza (Subtype H5N1)</t>
  </si>
  <si>
    <t>According to the announcement of the Government Gazette dated 19 February 2024, suspension for the importation or transit of live poultry and poultry carcasses from Indonesia, has expired on 19 May 2024. However, the WOAH has reported that Highly Pathogenic Avian Influenza (HPAI) is an endemic disease in Indonesia. Therefore, it is necessary for Thailand to prevent the entry of Highly Pathogenic Avian Influenza (HPAI) disease into the country. By virtue of the Animal Epidemics Act B.E. 2558 (2015), the importation or transit of live poultry and poultry carcasses from Indonesia is temporarily suspended for a period of 90 days after the date of publication in the Thai Royal Gazette (8 June 2024 - 5 September 2024). </t>
  </si>
  <si>
    <d:r xmlns:d="http://schemas.openxmlformats.org/spreadsheetml/2006/main">
      <d:rPr>
        <d:sz val="11"/>
        <d:rFont val="Calibri"/>
      </d:rPr>
      <d:t xml:space="preserve">https://members.wto.org/crnattachments/2024/SPS/THA/24_03821_00_x.pdf</d:t>
    </d:r>
  </si>
  <si>
    <t>Draft Decision of the Council of the Eurasian Economic Commission on the Rules for regulation of the circulation of feed additives within the customs territory of the Eurasian Economic Union</t>
  </si>
  <si>
    <t>The draft provides for the approval of the Rules for regulation of the circulation of feed additives within the customs territory of the Eurasian Economic Union (hereinafter - the Union), which include:- common rules for regulation of the circulation of feed additives;- a common procedure for the registration of feed additives, as well as other procedures related to registration;- a common assessment procedure with respect to the quality, safety and efficiency of feed additives, as well as criteria for their assessment;- common principles of information exchange while organizing and conducting state control (supervision) in the field of feed additives circulation;- common registration forms;- a common register of feed additives inscribed under unified Union rules;- a common information database on low-quality, unsafe feed additives, falsified and (or) counterfeit feed additives detected under state control (supervision) with respect to  feed additives circulation;- a common database on animals’ adverse reaction on feed additives;- a common register of producers of feed additives, the production of which is recognized to comply with the Union’s unified requirements.</t>
  </si>
  <si>
    <t>Draft Notification of the Ministry of Public Health on Young Child Food Subject to Ministerial Marketing Promotion Control B.E. …</t>
  </si>
  <si>
    <t>According to Section 3 of the Act on the Marketing of Infant and Young Child FoodControl B.E. 2560 (A.D.2017), the term "young child food" is defined by the Minister of Public Health, based on the recommendations of the Infant and Young Child Food Marketing Control Committee. The following notification is issued to specify the young child food subject to ministerial marketing promotion control:Young child food specified by the minister to be controlled under the Act on the Marketing of Infant and Young Child FoodControl B.E. 2560 includes young child food that has communications or marketing communications linked to infants, infant food, or that implies it is suitable for feeding infants.2. Statements that indicate use for young child feeding as mentioned in Section 3 include any of the following types of statements: (1) Marketing communications that establish a link to young children. (2) Text, names, or nutritional components appropriate and sufficient for feeding young children, shown on the label or in marketing communications. (3) Presentation of the nutritional value of young child food products on the label or in marketing communications. (4) Displaying age range numbers for young children on product labels or in marketing communications.</t>
  </si>
  <si>
    <t>0401 - Milk and cream, not concentrated nor containing added sugar or other sweetening matter; 0402 - Milk and cream, concentrated or containing added sugar or other sweetening matter</t>
  </si>
  <si>
    <d:r xmlns:d="http://schemas.openxmlformats.org/spreadsheetml/2006/main">
      <d:rPr>
        <d:sz val="11"/>
        <d:rFont val="Calibri"/>
      </d:rPr>
      <d:t xml:space="preserve">https://members.wto.org/crnattachments/2024/TBT/THA/24_03826_00_x.pdf</d:t>
    </d:r>
  </si>
  <si>
    <t>Measures of the Customs of the People’s Republic of China for the Administration of Inspection and Supervision of Import and Export Cosmetics</t>
  </si>
  <si>
    <t>These Measures are formulated in order to ensure the safety of import and export cosmetics and to protect the health of consumers.</t>
  </si>
  <si>
    <t>Cosmetic (HS code(s): 33; 34)</t>
  </si>
  <si>
    <t>33 - ESSENTIAL OILS AND RESINOIDS; PERFUMERY, COSMETIC OR TOILET PREPARATIONS; 34 - SOAP, ORGANIC SURFACE-ACTIVE AGENTS, WASHING PREPARATIONS, LUBRICATING PREPARATIONS, ARTIFICIAL WAXES, PREPARED WAXES, POLISHING OR SCOURING PREPARATIONS, CANDLES AND SIMILAR ARTICLES, MODELLING PASTES, ‘DENTAL WAXES’ AND DENTAL PREPARATIONS WITH A BASIS OF PLASTER</t>
  </si>
  <si>
    <d:r xmlns:d="http://schemas.openxmlformats.org/spreadsheetml/2006/main">
      <d:rPr>
        <d:sz val="11"/>
        <d:rFont val="Calibri"/>
      </d:rPr>
      <d:t xml:space="preserve">https://members.wto.org/crnattachments/2024/TBT/CHN/24_03838_00_x.pdf</d:t>
    </d:r>
  </si>
  <si>
    <t>Safety Standard for Bassinets and Cradles</t>
  </si>
  <si>
    <t xml:space="preserve">On 16 April 2024, the Consumer Product Safety Commission (CPSC) published in the Federal Register a notice of proposed rulemaking (NPR) to amend the existing regulation for bassinets and cradles, to ensure that the rule addresses identified hazards and that these sleep products for young infants provide the highest level of safety feasible. The NPR invited the public to submit written comments during a 60-day comment period, beginning on the NPR publication date, and ending on 17 June 2024. In response to a request for a 90-day extension of the comment period, the Commission is extending the comment period for this NPR by 45 days.Submit comments by 1 August 2024.89 Federal Register (FR) 51475, Title 16 Code of Federal Regulations (CFR) Part 1218_x000D_
https://www.govinfo.gov/content/pkg/FR-2024-06-18/html/2024-13330.htmhttps://www.govinfo.gov/content/pkg/FR-2024-06-18/pdf/2024-13330.pdfThis extension of comment period and previous actions notified under the symbol G/TBT/N/USA/538 is identified by Docket Number CPSC-2010-0028. The Docket Folder is available on Regulations.gov at https://www.regulations.gov/docket/CPSC-2010-0028/document and provides access to primary and supporting documents as well as comments received. Documents are also accessible from Regulations.gov by searching the Docket Number. Comments received by the USA TBT Enquiry Point from WTO Members and their stakeholders by 4pmEastern Time on 1 August 2024 will be shared with the CPSC and will also be submitted to the Docket on Regulations.gov if received within the comment period.</t>
  </si>
  <si>
    <t>Bassinets and cradles;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blankets and covers) (HS code(s): 9404); Product and company certification. Conformity assessment (ICS code(s): 03.120.20); Domestic safety (ICS code(s): 13.120); Furniture (ICS code(s): 97.140); Equipment for children (ICS code(s): 97.190)</t>
  </si>
  <si>
    <t>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pillows, blankets and covers); 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blankets and covers); 9404 - 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blankets and covers)</t>
  </si>
  <si>
    <t>03.120.20 - Product and company certification. Conformity assessment; 13.120 - Domestic safety; 97.140 - Furniture; 97.190 - Equipment for children; 03.120.20 - Product and company certification. Conformity assessment; 13.120 - Domestic safety; 97.140 - Furniture; 97.190 - Equipment for children</t>
  </si>
  <si>
    <t>Measures to prevent Tomato Brown Rugose Fruit Virus (ToBRFV) from entering and spread within the Republic of Korea</t>
  </si>
  <si>
    <t>The Animal and Plant Quarantine Agency (APQA), Ministry of Agriculture, Food and Rural Affairs (MAFRA) in the Republic of Korea, has added distributed countries (regions) of Tomato Brown Rugose Fruit Virus (ToBRFV), as a one of the quarantine pests of Korea, which is based on the result of Pest Risk Analysis (PRA).The below four countries (regions) have been added as ToBRFV distributed countries (regions) and the import of seeds for sowing and seedlings (such as nursery/root stocks, cuttings and scions) of Capsicum spp. and Solanum lycopersicum from ToBRFV distributed countries (regions) will need to meet certain conditions for import to Korea (see Attachment 1 for details).- Four countries (regions) are added to ToBRFV distributed countries (regions): India (Regions: Karnataka, Maharashtra), China (Region: Liaoning), PeruFull information about the plants, countries (regions) and additional requirements related to Tomato Brown Rugose Fruit Virus (ToBRFV) is available in Attachment 1 (available in English).This measure will be applied on consignment shipped on and after 15 August 2024.</t>
  </si>
  <si>
    <t>Seeds for sowing and seedlings(such as nursery/root stocks, cuttings and scions) of Capsicum spp. and Solanum lycopersicum</t>
  </si>
  <si>
    <t>Pests; Plant health; Pest- or Disease- free Regions / Regionalization; Pest- or Disease- free Regions / Regionalization; Plant health; Pests</t>
  </si>
  <si>
    <d:r xmlns:d="http://schemas.openxmlformats.org/spreadsheetml/2006/main">
      <d:rPr>
        <d:sz val="11"/>
        <d:rFont val="Calibri"/>
      </d:rPr>
      <d:t xml:space="preserve">https://members.wto.org/crnattachments/2024/SPS/KOR/24_03685_00_e.pdf
https://members.wto.org/crnattachments/2024/SPS/KOR/24_03685_01_e.pdf</d:t>
    </d:r>
  </si>
  <si>
    <t>CNCA-C11-21：2024：Compulsory product certification implementation rules for lithium-ion battery for electric bicycle</t>
  </si>
  <si>
    <t xml:space="preserve">This document specifies the scope of application, certification criteria, certification mode, certification unit division, certification application, certification implementation, post certification supervision, certification certificate, certification mark, fees, certification responsibilities and certification implementation rules for lithium-ion battery for electric bicycle._x000D_
This document applies to the compulsory product certification of lithium-ion battery for electric bicycle.</t>
  </si>
  <si>
    <t>Lithium-ion battery for electric bicycle (HS code(s): 850760); (ICS code(s): 43.140)</t>
  </si>
  <si>
    <t>850760 - Lithium-ion accumulators (excl. spent)</t>
  </si>
  <si>
    <d:r xmlns:d="http://schemas.openxmlformats.org/spreadsheetml/2006/main">
      <d:rPr>
        <d:sz val="11"/>
        <d:rFont val="Calibri"/>
      </d:rPr>
      <d:t xml:space="preserve">https://members.wto.org/crnattachments/2024/TBT/CHN/24_03833_00_x.pdf</d:t>
    </d:r>
  </si>
  <si>
    <t>The DLD order on temporary suspension of the importation or transit of live poultry and poultry carcasses from South Africa to prevent the spread of Highly Pathogenic Avian Influenza (Subtype H7N6)</t>
  </si>
  <si>
    <t>According to the announcement of the Government Gazette dated 19 February 2024, suspension for the importation or transit of live poultry and poultry carcasses from South Africa, has expired on 19 May 2024. However, the WOAH has reported a continued outbreak of Highly Pathogenic Avian Influenza (HPAI) in the area of South Africa. Therefore, it is necessary for Thailand to prevent the entry of Highly Pathogenic Avian Influenza (HPAI) disease into the country. By virtue of the Animal Epidemics Act B.E. 2558 (2015), the importation or transit of live poultry and poultry carcasses from South Africa is temporarily suspended for a period of 90 days after the date of publication in the Thai Royal Gazette (8 June 2024 - 5 September 2024). </t>
  </si>
  <si>
    <d:r xmlns:d="http://schemas.openxmlformats.org/spreadsheetml/2006/main">
      <d:rPr>
        <d:sz val="11"/>
        <d:rFont val="Calibri"/>
      </d:rPr>
      <d:t xml:space="preserve">https://members.wto.org/crnattachments/2024/SPS/THA/24_03822_00_x.pdf</d:t>
    </d:r>
  </si>
  <si>
    <t>Supplemental Technical Regulations for DAO 22-06, Series of 2022 on the Mandatory Product Certification of Vaporized Nicotine and Non-Nicotine Products</t>
  </si>
  <si>
    <t>Tobacco, tobacco products and related equipment (ICS code(s): 65.160)</t>
  </si>
  <si>
    <t>24041 - - Products intended for inhalation without combustion :; 24041 - - Products intended for inhalation without combustion :</t>
  </si>
  <si>
    <d:r xmlns:d="http://schemas.openxmlformats.org/spreadsheetml/2006/main">
      <d:rPr>
        <d:sz val="11"/>
        <d:rFont val="Calibri"/>
      </d:rPr>
      <d:t xml:space="preserve">https://members.wto.org/crnattachments/2024/TBT/PHL/final_measure/24_03857_00_e.pdf
https://bps.dti.gov.ph/</d:t>
    </d:r>
  </si>
  <si>
    <t>National Standard of the P.R.C., Provisions for the installation of lighting and light-signalling devices for motorcycles and mopeds</t>
  </si>
  <si>
    <t>This document specifies the terms and definitions, general requirements, special requirements, and inspection rules etc.  for installation of lighting and light-signalling devices for motorcycles and mopeds.This document applies to  motorcycles and mopeds.</t>
  </si>
  <si>
    <t>Light-signalling devices for motorcycles and mopeds (HS code(s): 87); (ICS code(s): 43.040.20)</t>
  </si>
  <si>
    <d:r xmlns:d="http://schemas.openxmlformats.org/spreadsheetml/2006/main">
      <d:rPr>
        <d:sz val="11"/>
        <d:rFont val="Calibri"/>
      </d:rPr>
      <d:t xml:space="preserve">https://members.wto.org/crnattachments/2024/TBT/CHN/24_03837_00_x.pdf</d:t>
    </d:r>
  </si>
  <si>
    <t>Draft amendment to Ministerial Resolution No. 109 of 2021 regarding the conditions for regulating the import of dogs and cats (Proposal)</t>
  </si>
  <si>
    <t>The proposed Ministerial Decree contains amendment to Ministerial Resolution No. 109 of 2021 regarding the conditions for regulating the import of dogs and cats.</t>
  </si>
  <si>
    <t>Live dogs and cats</t>
  </si>
  <si>
    <t>01 - LIVE ANIMALS; 0106 - Live animals (excl. horses, asses, mules, hinnies, bovine animals, swine, sheep, goats, poultry, fish, crustaceans, molluscs and other aquatic invertebrates, and microorganic cultures etc.)</t>
  </si>
  <si>
    <d:r xmlns:d="http://schemas.openxmlformats.org/spreadsheetml/2006/main">
      <d:rPr>
        <d:sz val="11"/>
        <d:rFont val="Calibri"/>
      </d:rPr>
      <d:t xml:space="preserve">https://members.wto.org/crnattachments/2024/SPS/ARE/24_03720_00_x.pdf
https://members.wto.org/crnattachments/2024/SPS/ARE/24_03720_01_x.pdf</d:t>
    </d:r>
  </si>
  <si>
    <t>Proposed Amendments to the Regulation on the Declaration and Inspection of Imported Food Products, etc</t>
  </si>
  <si>
    <t xml:space="preserve">The main proposed amendments seek to:A. Clarify the application process for the expedited approval procedures of the notification on the raw materials that are used for acquiring foreign currency pursuant and the raw materials that are used for self-manufacturing purposes(Foods, etc.,  recognized as safe by the Minister of Food and Drug Safety/ Foods, etc., with test/inspection reports from foreign testing /inspection institutions);_x000D_
B. Adjust the list of food products, etc., that the Minister of Food and Drug Safety recognizes as safe by reflecting the non-compliance records;_x000D_
C. Adjust the number of pesticides that are test items for the laboratory inspections conducted on the newly imported agricultural products by reflecting the non-compliance records, etc. </t>
  </si>
  <si>
    <d:r xmlns:d="http://schemas.openxmlformats.org/spreadsheetml/2006/main">
      <d:rPr>
        <d:sz val="11"/>
        <d:rFont val="Calibri"/>
      </d:rPr>
      <d:t xml:space="preserve">https://members.wto.org/crnattachments/2024/SPS/KOR/24_03753_00_x.pdf</d:t>
    </d:r>
  </si>
  <si>
    <t>National Standard of the P.R.C., Technical requirements and testing methods for passenger car braking systems</t>
  </si>
  <si>
    <t xml:space="preserve">This document specifies the safety requirements and test methods for passenger car braking systems._x000D_
This document applies to vehicles of category M1.</t>
  </si>
  <si>
    <t>43.040.40 - Braking systems; 43.020 - Road vehicles in general</t>
  </si>
  <si>
    <d:r xmlns:d="http://schemas.openxmlformats.org/spreadsheetml/2006/main">
      <d:rPr>
        <d:sz val="11"/>
        <d:rFont val="Calibri"/>
      </d:rPr>
      <d:t xml:space="preserve">https://members.wto.org/crnattachments/2024/TBT/CHN/24_03839_00_x.pdf</d:t>
    </d:r>
  </si>
  <si>
    <t>Pharmacists Ordinance (Amendment  no. 37), 5741-1981</t>
  </si>
  <si>
    <d:r xmlns:d="http://schemas.openxmlformats.org/spreadsheetml/2006/main">
      <d:rPr>
        <d:sz val="11"/>
        <d:rFont val="Calibri"/>
      </d:rPr>
      <d:t xml:space="preserve">https://members.wto.org/crnattachments/2024/TBT/ISR/24_03827_00_x.pdf</d:t>
    </d:r>
  </si>
  <si>
    <t>National Standard of the P.R.C., Electric vehicles traction battery safety requirements</t>
  </si>
  <si>
    <t xml:space="preserve">This document specifies the safety requirements and test methods for battery cells, battery packs or systems of traction batteries used in electric vehicles._x000D_
This document applies to traction batteries for electric vehicles.</t>
  </si>
  <si>
    <t>Traction batteries for electric vehicles (HS code(s): 87); (ICS code(s): 43.120)</t>
  </si>
  <si>
    <d:r xmlns:d="http://schemas.openxmlformats.org/spreadsheetml/2006/main">
      <d:rPr>
        <d:sz val="11"/>
        <d:rFont val="Calibri"/>
      </d:rPr>
      <d:t xml:space="preserve">https://members.wto.org/crnattachments/2024/TBT/CHN/24_03836_00_x.pdf</d:t>
    </d:r>
  </si>
  <si>
    <t>National Standard of the P.R.C., Rubber and plastics machinery—General safety requirements</t>
  </si>
  <si>
    <t xml:space="preserve">This document specifies the necessary general safety requirements for the design and production of rubber and plastics machinery and supplementary safety requirements for specific machines._x000D_
This document applies to rubber compounding, calendering, extrusion, molding, vulcanization, crushing and plastic refining, calendering, extrusion, injection, spraying, pressure, vacuum, hollow foam molding, weaving, casting, granulation, crushing and other rubber and plastics machinery.</t>
  </si>
  <si>
    <t>rubber and plastics machinery (HS code(s): 847720); (ICS code(s): 83.200)</t>
  </si>
  <si>
    <t>847720 - Extruders for working rubber or plastics</t>
  </si>
  <si>
    <t>83.200 - Equipment for the rubber and plastics industries</t>
  </si>
  <si>
    <d:r xmlns:d="http://schemas.openxmlformats.org/spreadsheetml/2006/main">
      <d:rPr>
        <d:sz val="11"/>
        <d:rFont val="Calibri"/>
      </d:rPr>
      <d:t xml:space="preserve">https://members.wto.org/crnattachments/2024/TBT/CHN/24_03832_00_x.pdf</d:t>
    </d:r>
  </si>
  <si>
    <t>Approved reassessment of hydrogen cyanamideApplication (APP203974) for a reassessment under section 63 and 63A of the HSNO Act. The application includes the following 7 documents:·       Completed application form, 19 pages, in English·       EPA application report hydrogen cyanamide reassessment, 63 pages, in English·       Appendix B EPA science memo, 19 pages, in English·       Appendix C Māori impact assessment report, 15 pages, in English·       Appendix D Economics assessment report, 31 pages, in English·       Appendix E WorkSafe advice report, 10 pages, in English·       Appendix F Analysis of risks and practical control measures, 10 pages, in Englishhttps://www.epa.govt.nz/database-search/hsno-application-register/view/APP203974</t>
  </si>
  <si>
    <t>New Zealand notified the application for reassessment of hydrogen cyanamide in accordance with article 2.9.2 of the WTO. Based on its preliminary assessment in 2021, the Environmental Protection Authority (EPA) recommended that current approvals for hydrogen cyanamide be declined, and the substance no longer be approved. The EPA proposed that hydrogen cyanamide be phased out over five years, with tighter controls taking immediate effect after the final decision on the reassessment.The final changes include updates to the hazard classifications and controls, and no ban of the substance.The reassessment application has been approved with controls in accordance with Section 63 of the Hazardous Substances and New Organisms Act 1996.The final decision adopted the following classification changes, as originally proposed:•          Classify as skin and eye corrosive, rather than as an irritant.•          Change the specific target organ toxicity classification (from Category 1 to 2).•          Classify as hazardous to soil organisms.Hydrogen cyanamide will not be classified as a suspected carcinogen (Category 2) which was originally proposed. Changes to the controls are detailed in Appendix C of the decision document.Use-controls such as buffer zones, application rate and frequency, application method, application period and qualification requirements have been applied largely as proposed.  Additional labelling requirements have been applied. A person must not supply this substance to any other person unless the substance label:shows information detailing the requirements of the Use restrictions control. shows information detailing the requirements of the Application method restrictions control. includes a statement to the effect of the following: “Do not consume alcohol the day before or up to seven days after application. In combination with alcohol, a severe temporary reaction known as “cyanamide flush” may be produced. Symptoms of cyanamide flush include skin flushing, dizziness, headache, shortness of breath, and a rapid pulse.” includes a statement to the effect of the following: “WARNING: The substance may not be compatible with integrated pest management (IPM).” includes a statement to the effect of the following: “WARNING: Very toxic to some plant species. Certain plants may be damaged or killed from contact with this product. The substance should not be applied within a specified distance of a downwind area containing any non-target plants, the distance varies per use pattern. Before application, users should be aware of any wetlands, indigenous vegetation habitat areas, or reserves that may contain threatened plants adjacent to the application area, in which case it is recommended to increase the buffer zone, the distance varies per use pattern. See buffer zone information.”From 1 July 2025, all substance labels must be compliant with all label requirements. During the transitional period for the application of new label controls, a person must not supply this substance to any other person unless additional documentation is provided which includes the information set out in the additional label requirements controls detailed above.Full details of the changes are available in the decision document: APP203974_20240523_Final-Decision.pdf (epa.govt.nz)All information relating to the reassessment, including submissions received through the public consultation process and the EPA’s updated assessments can be found on the EPA website: Hydrogen cyanamide reassessment | EPA</t>
  </si>
  <si>
    <t>This notification relates to the active ingredient hydrogen cyanamide (CAS No 420-04-2) and one hydrogen cyanamide-containing substance (marketed as six different commercial products).The HSNO approval numbers for the substances affected by the proposal are HSR002949 (hydrogen cyanamide) and HRC000001 (soluble concentrate containing 520-540 g/L hydrogen cyanamide).The CS Number is 420-04-2.  </t>
  </si>
  <si>
    <d:r xmlns:d="http://schemas.openxmlformats.org/spreadsheetml/2006/main">
      <d:rPr>
        <d:sz val="11"/>
        <d:rFont val="Calibri"/>
      </d:rPr>
      <d:t xml:space="preserve">https://www.epa.govt.nz/public-consultations/decided/hydrogen-cyanamide-reassessment/ 
https://www.epa.govt.nz/assets/FileAPI/hsno-ar/APP203974/APP203974_20240523_Final-Decision.pdf 
</d:t>
    </d:r>
  </si>
  <si>
    <t>Those foods, food additives, food utensils, food containers or packaging classified under 7 specific CCC codes</t>
  </si>
  <si>
    <t>Commodities classified under seven specific CCC codes shall follow the "Regulations of Inspection of Imported Foods and Related Products" if they are used for foods, food additives, food utensils, food containers or packaging. The importers shall apply for inspection to the Food and Drug Administration, Ministry of Health and Welfare.</t>
  </si>
  <si>
    <t>Foods, food additives, food utensils, food containers or packaging</t>
  </si>
  <si>
    <d:r xmlns:d="http://schemas.openxmlformats.org/spreadsheetml/2006/main">
      <d:rPr>
        <d:sz val="11"/>
        <d:rFont val="Calibri"/>
      </d:rPr>
      <d:t xml:space="preserve">https://members.wto.org/crnattachments/2024/SPS/TPKM/24_03825_00_e.pdf
http://www.fda.gov.tw/TC/newsContent.aspx?cid=5072&amp;id=30599</d:t>
    </d:r>
  </si>
  <si>
    <t>National Standard of the P.R.C., Packaging for dangerous goods – Safety technical code for packaging containing a variety of dangerous goods</t>
  </si>
  <si>
    <t xml:space="preserve">The document specifies classification, code for designating types and marking of packaging, transport marking and labelling, packaging requirements of dangerous goods and packages, and special requirements of dangerous goods packed in limited quantities and excepted quantities._x000D_
The document applies to combination packaging containing a variety of dangerous goods.</t>
  </si>
  <si>
    <t>packaging for dangerous goods (ICS code(s): 13.300)</t>
  </si>
  <si>
    <t>13.300 - Protection against dangerous goods</t>
  </si>
  <si>
    <d:r xmlns:d="http://schemas.openxmlformats.org/spreadsheetml/2006/main">
      <d:rPr>
        <d:sz val="11"/>
        <d:rFont val="Calibri"/>
      </d:rPr>
      <d:t xml:space="preserve">https://members.wto.org/crnattachments/2024/TBT/CHN/24_03830_00_x.pdf</d:t>
    </d:r>
  </si>
  <si>
    <t>Proyecto de Primera Revisión del Reglamento Técnico Ecuatoriano PRTE 251 (1R) "Perfiles, barras, varillas y tubos extruidos de aluminio"</t>
  </si>
  <si>
    <t xml:space="preserve">El presente reglamento técnico ecuatoriano aplica a los siguientes productos sean estos nacionales o importados que se comercialicen en el Ecuador:_x000D_
Perfiles de aluminio extruidos en calienteBarras de aluminio extruidos en calienteVarillas de aluminio extruidos en calienteTubos de aluminio extruidos en caliente</t>
  </si>
  <si>
    <t>Barras y perfiles, de aluminio, n.c.o.p. (Código(s) del SA: 7604); Tubos de aluminio sin alear (exc. los perfiles huecos) (Código(s) del SA: 760810)</t>
  </si>
  <si>
    <t>7604 - Bars, rods and profiles, of aluminium, n.e.s.; 760810 - Tubes and pipes of non-alloy aluminium (excl. hollow profiles)</t>
  </si>
  <si>
    <t>23.040.15 - Non-ferrous metal pipes; 77.150.10 - Aluminium products</t>
  </si>
  <si>
    <d:r xmlns:d="http://schemas.openxmlformats.org/spreadsheetml/2006/main">
      <d:rPr>
        <d:sz val="11"/>
        <d:rFont val="Calibri"/>
      </d:rPr>
      <d:t xml:space="preserve">https://members.wto.org/crnattachments/2024/TBT/ECU/24_03814_00_s.pdf
www.normalizacion.gob.ec</d:t>
    </d:r>
  </si>
  <si>
    <t>The DLD order on temporary suspension of the importation or transit of live domestic pigs and wild pigs and their carcasses from India to prevent  the spread of African Swine Fever</t>
  </si>
  <si>
    <t>According to the announcement of the Government Gazette dated 19 February 2024, suspension for the importation or transit of live domestic pigs and wild pigs and their carcasses from India,has expired on 19 May 2024. However, the WOAH has reported a continued outbreak of African Swine Fever in the area of India. Therefore, it is necessary for Thailand to prevent the entry of African Swine Fever disease into the country. By virtue of the Animal Epidemics Act B.E. 2558 (2015), the importation or transit of live domestic pig and wild pigs and their carcasses from India is temporarily suspended for a period of 90 days after date of publication in the Thai Royal Gazette (8 June 2024 – 5 September 2024).</t>
  </si>
  <si>
    <t>Animal health; Animal diseases; African swine fever (ASF)</t>
  </si>
  <si>
    <d:r xmlns:d="http://schemas.openxmlformats.org/spreadsheetml/2006/main">
      <d:rPr>
        <d:sz val="11"/>
        <d:rFont val="Calibri"/>
      </d:rPr>
      <d:t xml:space="preserve">https://members.wto.org/crnattachments/2024/SPS/THA/24_03818_00_x.pdf</d:t>
    </d:r>
  </si>
  <si>
    <t>Proyecto de Primera Revisión del Reglamento Técnico Ecuatoriano PRTE 137 (1R) "Herramientas eléctricas manuales y semifijas accionadas por motor eléctrico"</t>
  </si>
  <si>
    <t xml:space="preserve">El presente reglamento técnico ecuatoriano aplica a los siguientes productos sean estos nacionales o importados que se comercialicen en el Ecuador:_x000D_
Sierras circulares manuales y sierras circulares manuales montadas sobre un banco.Sierras de banco semifijas con una hoja de sierra de diámetro no superior a 315 mm.Sierras reciprocantes (sierras caladoras y sierras sable).Sierras de cadena destinadas a cortar madera.Sierras manuales de cinta.Sierras de cinta semifijas con una cinta de sierra de longitud no superior a 2 700 mm y volantes de cinta con un diámetro no superior a 350 mm.Tronzadoras de disco manuales con muela reforzada aglomerada, o una o varias muelas diamantadas de tronzado.Sierras ingleteadoras semifijas, con una hoja de diámetro no superior a 350 mm.Sierras combinadas (Ingleteadoras y de banco) semifijas con una hoja de sierra de diámetro no superior a 315 mm.Amoladoras de banco semifijas y combinadas.Amoladoras de corte.Amoladoras angulares, rectas y verticales.Amoladoras de troqueles.</t>
  </si>
  <si>
    <t>Sierras, incl. las tronzadoras, con motor eléctrico incorporado, de uso manual (Código(s) del SA: 846722); Herramientas con motor eléctrico incorporado, de uso manual (exc. taladros de toda clase, incl. las perforadoras rotativas, y sierras, incl. las tronzadoras) (Código(s) del SA: 846729)</t>
  </si>
  <si>
    <t>846722 - Saws for working in the hand, with self-contained electric motor; 846729 - Electromechanical tools for working in the hand, with self-contained electric motor (excl. saws and drills)</t>
  </si>
  <si>
    <t>25.100.40 - Saws; 65.060.80 - Forestry equipment</t>
  </si>
  <si>
    <d:r xmlns:d="http://schemas.openxmlformats.org/spreadsheetml/2006/main">
      <d:rPr>
        <d:sz val="11"/>
        <d:rFont val="Calibri"/>
      </d:rPr>
      <d:t xml:space="preserve">https://members.wto.org/crnattachments/2024/TBT/ECU/24_03812_00_s.pdf
www.normalizacion.gob.ec</d:t>
    </d:r>
  </si>
  <si>
    <t>Greenhouse Gas Emissions Standards for Heavy-Duty Vehicles - Phase 3; Correction</t>
  </si>
  <si>
    <t xml:space="preserve">89 Federal Register (FR) 51234, Title 40 Code of Federal Regulations (CFR) Parts 10361037, and 1065_x000D_
https://www.govinfo.gov/content/pkg/FR-2024-06-17/html/2024-13196.htm_x000D_
https://www.govinfo.gov/content/pkg/FR-2024-06-17/pdf/2024-13196.pdfThe Environmental Protection Agency (EPA) is issuing a correction to a final rule published in the Federal Register of Monday, 22 April 2024, which will be effective 21 June 2024. The final rule established new emission standards for heavy-duty highway vehicles, along with several amendments for a wide range of highway and nonroad engines and vehicles. This document corrects inadvertent errors introduced in preparing the amendatory regulatory text for publication. These corrections do not include any substantives change to the final rule.This correction is effective 21 June 2024.This final rule; correction and previous actions notified under the symbol G/TBT/N/USA/1987 are identified by Docket Number EPA-HQ-OAR-2022-0985. The Docket Folder is available on Regulations.gov at https://www.regulations.gov/docket/EPA-HQ-OAR-2022-0985/document and provides access to primary and supporting documents as well as comments received. Documents are also accessible from Regulations.gov by searching the Docket Number.</t>
  </si>
  <si>
    <t>Heavy-Duty Highway Vehicles and Engines; Automobile and Light Duty Motor Vehicles; Zero-Emission Vehicles; Plug-in Hybrid and Battery Electric Vehicles; and Locomotives, New Engines Used in Locomotives; Environmental protection (ICS code(s): 13.020); Air quality (ICS code(s): 13.040); Road vehicles in general (ICS code(s): 43.020); Road vehicle systems (ICS code(s): 43.040); Internal combustion engines for road vehicles (ICS code(s): 43.060); Commercial vehicles (ICS code(s): 43.080); Passenger cars. Caravans and light trailers (ICS code(s): 43.100); Electric road vehicles (ICS code(s): 43.120); Special purpose vehicles (ICS code(s): 43.160); Diagnostic, maintenance and test equipment (ICS code(s): 43.180); Railway engineering in general (ICS code(s): 45.020)</t>
  </si>
  <si>
    <t>13.020 - Environmental protection; 13.020 - Environmental protection; 13.020 - Environmental protection; 13.040 - Air quality; 13.040 - Air quality; 13.040 - Air quality; 43.020 - Road vehicles in general; 43.020 - Road vehicles in general; 43.020 - Road vehicles in general; 43.040 - Road vehicle systems; 43.040 - Road vehicle systems; 43.040 - Road vehicle systems; 43.060 - Internal combustion engines for road vehicles; 43.060 - Internal combustion engines for road vehicles; 43.060 - Internal combustion engines for road vehicles; 43.080 - Commercial vehicles; 43.080 - Commercial vehicles; 43.080 - Commercial vehicles; 43.100 - Passenger cars. Caravans and light trailers; 43.100 - Passenger cars. Caravans and light trailers; 43.100 - Passenger cars. Caravans and light trailers; 43.120 - Electric road vehicles; 43.120 - Electric road vehicles; 43.120 - Electric road vehicles; 43.160 - Special purpose vehicles; 43.160 - Special purpose vehicles; 43.160 - Special purpose vehicles; 43.180 - Diagnostic, maintenance and test equipment; 43.180 - Diagnostic, maintenance and test equipment; 43.180 - Diagnostic, maintenance and test equipment; 45.020 - Railway engineering in general; 45.020 - Railway engineering in general; 45.020 - Railway engineering in general</t>
  </si>
  <si>
    <d:r xmlns:d="http://schemas.openxmlformats.org/spreadsheetml/2006/main">
      <d:rPr>
        <d:sz val="11"/>
        <d:rFont val="Calibri"/>
      </d:rPr>
      <d:t xml:space="preserve">https://members.wto.org/crnattachments/2024/TBT/USA/24_03804_00_e.pdf</d:t>
    </d:r>
  </si>
  <si>
    <t>Lithuania</t>
  </si>
  <si>
    <t>Draft Order of the Director of the State Consumer Rights Protection Authority "On Approval of the List of Chemical Substances Permitted to be Used in the Republic of Lithuania to Impart Tobacco Flavor and Odor to Electronic Cigarette Liquid and Refill Cartridges" </t>
  </si>
  <si>
    <t>This draft Order establishes restrictions on the placing on the market of e-cigarette liquids containing flavoring substances, except for flavoring substances that impart the smell or taste of tobacco; a list of permitted flavoring substances that impart the smell or taste of tobacco is established in accordance with Article 9(2)(5) of the Law on Control of Tobacco, Tobacco Products and Products Related to the Republic of Lithuania.</t>
  </si>
  <si>
    <t>240491 - Nicotine containing products intended for the intake of nicotine into the human body, for oral application (excl. for inhalation)</t>
  </si>
  <si>
    <d:r xmlns:d="http://schemas.openxmlformats.org/spreadsheetml/2006/main">
      <d:rPr>
        <d:sz val="11"/>
        <d:rFont val="Calibri"/>
      </d:rPr>
      <d:t xml:space="preserve">https://members.wto.org/crnattachments/2024/TBT/LTU/24_03801_00_x.pdf
https://e-seimas.lrs.lt/portal/legalAct/lt/TAP/ab3e5b000d2b11ef8e4be9fad87afa59?positionInSearchResults=0&amp;searchModelUUID=fb7fa04b-b4e6-4744-b9dd-74e317d06c3e
</d:t>
    </d:r>
  </si>
  <si>
    <t>The DLD order on temporary suspension of the importation or transit of live poultry and poultry carcasses from Hungary to prevent the spread of Highly Pathogenic Avian Influenza (Subtype H5N1)</t>
  </si>
  <si>
    <t>The WOAH reported an outbreak of Avian Influenza (HPAI) in the area of Hungary, it is necessary for Thailand to prevent the entry of disease into the country. By virtue of the Animal Epidemics Act B.E. 2558 (2015), the importation or transit of live poultry and poultry carcasses from Békés and Jász-Nagykun-Szolnok of Hungary is temporarily suspended for a period of 90 days after date of publication in the Thai Royal Gazette (8 June 2024 - 5 September 2024)</t>
  </si>
  <si>
    <t>Avian Influenza; Animal health; Animal diseases; Zoonoses; Pest- or Disease- free Regions / Regionalization</t>
  </si>
  <si>
    <t>Hungary</t>
  </si>
  <si>
    <d:r xmlns:d="http://schemas.openxmlformats.org/spreadsheetml/2006/main">
      <d:rPr>
        <d:sz val="11"/>
        <d:rFont val="Calibri"/>
      </d:rPr>
      <d:t xml:space="preserve">https://members.wto.org/crnattachments/2024/SPS/THA/24_03820_00_x.pdf</d:t>
    </d:r>
  </si>
  <si>
    <t xml:space="preserve">In this document, the Federal Communications Commission (Commission) announces that the Office of Management and Budget (OMB) has approved until 31 May 2027, an information collection associated with the Commission's Third Report and Order, FCC 23-88 (Order), in which the Commission, among other things, adopted a new rule that provided Participating Commercial Mobile Service (CMS) Providers may support up to two Wireless Emergency Alert (WEA) tests that the public receives by default per county or county equivalent per calendar year. This document is consistent with the Order, which stated the Commission would publish a document in the Federal Register announcing the effective date of the new rules.The amendment of 47 CFR 10.350(d) published at 88 FR 86824 on 15 December 2023, is effective on 17 July 2024.89 Federal Register (FR) 51265, Title 47 Code of Federal Regulations (CFR) Part 10_x000D_
https://www.govinfo.gov/content/pkg/FR-2024-06-17/html/2024-13194.htm_x000D_
https://www.govinfo.gov/content/pkg/FR-2024-06-17/pdf/2024-13194.pdfThis final rule; announcement of effective date and previous actions notified under the symbol G/TBT/N/USA/2087 are identified by PS Docket Nos. 15-94 and 15-91FCC 23-88. The Docket Folders are available on the FCC's website at https://www.fcc.gov/edocs. Documents are also accessible from the FCC's Electronic Document Management System (EDOCS) by searching the PS Docket Number.</t>
  </si>
  <si>
    <t>The DLD order on temporary suspension of the importation or transit of bovine and buffalo and their products under the Animal Epidemics Act B.E. 2558 (2015) from Cambodia</t>
  </si>
  <si>
    <t>According to the announcement of the Government Gazette dated 19 February 2024, the suspension for the importation or transit of bovine and buffalo and their products from Cambodia, has expired on 19 May 2024. However, the WOAH has reported a continued outbreak of lumpy skin disease into the country in the area of Cambodia. Therefore, it is necessary for Thailand to prevent the entry of lumpy skin disease into the country. By the virtue of the Animal Epidemics Act B.E. 2558 (2015), the importation or transit of bovine and buffalo and their products from Cambodia is temporarily suspended for a period of 90 days after the date of publication in the Thai Royal Gazette (8 June 2024 - 5 September 2024).</t>
  </si>
  <si>
    <t>Bovine and buffalo and their products</t>
  </si>
  <si>
    <t>160250 - Prepared or preserved meat or offal of bovine animals (excl. sausages and similar products, finely homogenised preparations put up for retail sale as infant food or for dietetic purposes, in containers of a net weight of &lt;= 250 g, preparations of liver and meat extracts and juices); 0210 - Meat and edible offal, salted, in brine, dried or smoked; edible flours and meals of meat or meat offal; 0206 - Edible offal of bovine animals, swine, sheep, goats, horses, asses, mules or hinnies, fresh, chilled or frozen; 0202 - Meat of bovine animals, frozen; 0201 - Meat of bovine animals, fresh or chilled; 0102 - Live bovine animals</t>
  </si>
  <si>
    <d:r xmlns:d="http://schemas.openxmlformats.org/spreadsheetml/2006/main">
      <d:rPr>
        <d:sz val="11"/>
        <d:rFont val="Calibri"/>
      </d:rPr>
      <d:t xml:space="preserve">https://members.wto.org/crnattachments/2024/SPS/THA/24_03817_00_x.pdf</d:t>
    </d:r>
  </si>
  <si>
    <t>PROTOCOLO DE ANALISIS Y/O ENSAYOS DE SEGURIDAD DE PRODUCTO DE COMBUSTIBLES GASEOSOS. Accesorios de unión para tubos de cobre para gases Combustibles.</t>
  </si>
  <si>
    <t>El presente protocolo establece el procedimiento de certificación para los “Accesorios de unión para tubos de cobre para gases Combustibles”, de acuerdo con el alcance y campo de aplicación de la norma NCh 396/1.Of1980.</t>
  </si>
  <si>
    <t>Accesorios de unión para tubos de cobre para gases Combustibles</t>
  </si>
  <si>
    <t>7412 - Copper tube or pipe fittings "e.g., couplings, elbows, sleeves"</t>
  </si>
  <si>
    <t>23.040.50 - Pipes and fittings of other materials</t>
  </si>
  <si>
    <d:r xmlns:d="http://schemas.openxmlformats.org/spreadsheetml/2006/main">
      <d:rPr>
        <d:sz val="11"/>
        <d:rFont val="Calibri"/>
      </d:rPr>
      <d:t xml:space="preserve">https://members.wto.org/crnattachments/2024/TBT/CHL/24_03816_00_s.pdf
https://www.sec.cl/consulta-publica/#1562021903705-db277904-ea8a</d:t>
    </d:r>
  </si>
  <si>
    <t>The DLD order on temporary suspension of the importation or transit of live domestic pigs and wild pigs and their carcasses from Italy to prevent the spread of African Swine Fever</t>
  </si>
  <si>
    <t>According to the announcement of the Government Gazette dated 19 February 2024, suspension for the importation or transit of live domestic pigs and wild pigs and their carcasses from Italy, has expired on 19 May 2024. However, the WOAH has reported a continued outbreak of African Swine Fever in the area of Italy. Therefore, it is necessary for Thailand to prevent the entry of African Swine Fever disease into the country. By virtue of the Animal Epidemics Act B.E. 2558 (2015), the importation or transit of live domestic and wild pigs and their carcasses from Italy is temporarily suspended for a period of 90 days after date of publication in the Thai Royal Gazette (8 June 2024 - 5 September 2024).</t>
  </si>
  <si>
    <t>Animal health; Animal diseases; African swine fever (ASF); Pest- or Disease- free Regions / Regionalization</t>
  </si>
  <si>
    <d:r xmlns:d="http://schemas.openxmlformats.org/spreadsheetml/2006/main">
      <d:rPr>
        <d:sz val="11"/>
        <d:rFont val="Calibri"/>
      </d:rPr>
      <d:t xml:space="preserve">https://members.wto.org/crnattachments/2024/SPS/THA/24_03819_00_x.pdf</d:t>
    </d:r>
  </si>
  <si>
    <t>The Law of Ukraine No 2469-IX "On Medicines" of 28 July 2022</t>
  </si>
  <si>
    <t xml:space="preserve">The Law governs legal relationships in the field of medicines, covering their development, preclinical and clinical trials, state registration, manufacturing, prescription, use, import, wholesale and retail trade, distance selling, pharmaceutical quality control, pharmacovigilance, and defines the rights and responsibilities of legal entities and individuals, state authorities and officials in this sphere.The Law provides for the following:_x000D_
Harmonizing Terminology: Eliminating terminological inconsistencies in legislation and aligning terminology with EU legislation._x000D_
Medicine Placement Rules: Establishing rules for the placement of medicines intended for human use, considering special requirements for reference and generic medicines, homeopathic and traditional herbal medicines, pediatric, high-tech, and orphan medicines, etc._x000D_
Licensing Provisions: Setting special provisions for licensing the manufacture, wholesale trade, and import of medicines (excluding active pharmaceutical ingredients)._x000D_
Labelling and Safety: Determining the content of medicine packaging labels and requirements for their safety characteristics._x000D_
Medicine Classification: Streamlining the classification of medicines._x000D_
Distance Selling Rules: Establishing rules for the distance selling of medicines to consumers._x000D_
Advertising and Information Policy: Defining specific provisions for advertising and detailing information policies related to medicines._x000D_
Pharmacovigilance Regulation: Adopting a comprehensive approach to regulating the pharmacovigilance system._x000D_
Supervision and Control: Ensuring the efficiency of supervision and control mechanisms in the circulation of medicines, and liability of persons for violation of the legislation on medicines, ensuring consumer rights protection in this sphere._x000D_
The Law aims to ensure public health protection in Ukraine by providing access to effective, high-quality and safe medicines, as well as to implement specific provisions of EU legislation on medicines for human use. The Law also establishes that the registration certificate for a medicine issued before the entry into force of this Law and having a limited validity period shall remain valid for the period specified in the certificate._x000D_
A registration certificate for a medicine issued before the entry into force of this Law and having an unlimited validity period shall remain valid indefinitely after the entry into force of this Law. Such registration certificate shall be replaced by an extract from the State Register of Medicines upon the application of the registration holder (or their representative in Ukraine) free of charge within five years from the date of the Law’s entry into force. The extract shall be issued without any amendments to the registration materials and/or without any requirements to provide additional materials._x000D_
Medicines registered in Ukraine before the entry into force of this Law may be placed on the market within five years from the date of entry into force of this Law and remain on the market until their expiry date in accordance with the legislation in force before the Law’s entry into force, without any prohibitions or restrictions being applied to them for these reasons.</t>
  </si>
  <si>
    <t>Medicines </t>
  </si>
  <si>
    <d:r xmlns:d="http://schemas.openxmlformats.org/spreadsheetml/2006/main">
      <d:rPr>
        <d:sz val="11"/>
        <d:rFont val="Calibri"/>
      </d:rPr>
      <d:t xml:space="preserve">https://members.wto.org/crnattachments/2024/TBT/UKR/24_03803_00_x.pdf
https://zakon.rada.gov.ua/laws/show/2469-20#Text</d:t>
    </d:r>
  </si>
  <si>
    <t>Draft Commission Implementing Regulation approving silver zinc zeolite as an existing active substance for use in biocidal products of product-types 2, 7 and 9 in accordance with Regulation (EU) No 528/2012 of the European Parliament and of the Council</t>
  </si>
  <si>
    <t>This draft Commission Implementing Regulation approves silver zinc zeolite as an existing active substance for use in biocidal products of product-types 2, 7 and 9.</t>
  </si>
  <si>
    <d:r xmlns:d="http://schemas.openxmlformats.org/spreadsheetml/2006/main">
      <d:rPr>
        <d:sz val="11"/>
        <d:rFont val="Calibri"/>
      </d:rPr>
      <d:t xml:space="preserve">https://members.wto.org/crnattachments/2024/TBT/EEC/24_03802_00_e.pdf
https://members.wto.org/crnattachments/2024/TBT/EEC/24_03802_01_e.pdf</d:t>
    </d:r>
  </si>
  <si>
    <t>Notice of Proposed Rulemaking and Announcement of Public Hearing: Amendments to Article 6, Clear and Reasonable Warnings Safe Harbor Methods and Content</t>
  </si>
  <si>
    <t>The Office of Environmental Health Hazard Assessment (OEHHA) is providing notice of changes to the proposed regulatory action to amend, Title 27 of the California Code of Regulations, Article 6, Clear and Reasonable Warnings – Safe Harbor Methods and Content, Sections 25601, 25602, 25603, and 25607.2 and adopt new Sections 25607.50, 25607.51, 25607.52, and 25607.53. The public comment period begins 13 June 2024, and ends 28 June 2024.15-day Notice of Modification15-day Proposed Modified Regulatory TextUnofficial Regulatory Text as AmendedOEHHA must receive comments on the proposed modifications by 28 June 2024.WTO Members and their stakeholders are asked to submit comments to the USA TBT Enquiry Point. Comments received by the USA TBT Enquiry Point from WTO Members and their stakeholders by 4pmEastern Time on 28 June 2024 will be shared with OEHHA if received within the comment period.</t>
  </si>
  <si>
    <t>Consumer product exposure warnings; Special purpose vehicles (ICS code(s): 43.160); Small craft (ICS code(s): 47.080); Prepackaged and prepared foods (ICS code(s): 67.230)</t>
  </si>
  <si>
    <t>43.160 - Special purpose vehicles; 47.080 - Small craft; 67.230 - Prepackaged and prepared foods; 43.160 - Special purpose vehicles; 47.080 - Small craft; 67.230 - Prepackaged and prepared foods</t>
  </si>
  <si>
    <d:r xmlns:d="http://schemas.openxmlformats.org/spreadsheetml/2006/main">
      <d:rPr>
        <d:sz val="11"/>
        <d:rFont val="Calibri"/>
      </d:rPr>
      <d:t xml:space="preserve">https://members.wto.org/crnattachments/2024/TBT/USA/modification/24_03792_00_e.pdf
https://members.wto.org/crnattachments/2024/TBT/USA/modification/24_03792_01_e.pdf
</d:t>
    </d:r>
  </si>
  <si>
    <t>Proposed revisions of the Ordinance for Enforcement of the Plant Protection Act, relevant notifications and detailed rules</t>
  </si>
  <si>
    <t xml:space="preserve">We are pleased to inform that the revisions of the Ordinance for Enforcement of the Plant Protection Act and non-quarantine pest list (notified by G/SPS/N/JPN/1260 on 12 March 2024) have been published in the Japanese Official Gazette on 17 June 2024.These revisions are to enter into force on 18 June 2024.The revised Ordinance for Enforcement of the Plant Protection Act and non-quarantine pest list can be viewed at the following URLs: 1. "Revised Annexed Table 1"_x000D_
List of the quarantine pests (Annexed Table 1 of the Ordinance for Enforcement of the Plant Protection Act):_x000D_
https://www.maff.go.jp/pps/j/law/houki/shorei/E_Annexed_Table1.html2. "Revised Annexed Table 1-2"_x000D_
List of the plants and other objects subject to specific phytosanitary measures to be carried out in exporting countries (Annexed Table 1-2 of the Ordinance for Enforcement of the Plant  Protection Act):https://www.maff.go.jp/pps/j/law/houki/shorei/E_Annexed_Table1-2.html3. "Revised Annexed Table 2"_x000D_
List of the import prohibited plants (Annexed Table 2 of the Ordinance for Enforcement of the Plant Protection Act):https://www.maff.go.jp/pps/j/law/houki/shorei/E_Annexed_Table2.html4. "Revised Annexed Table 2-2"_x000D_
List of the import prohibited plants (excluding the plants that meet the requirements) (Annexed  Table 2-2 of the Ordinance for Enforcement of the Plant Protection Act):_x000D_
https://www.maff.go.jp/pps/j/law/houki/shorei/E_Annexed_Table2-2.html5. “Revised Non-quarantine pest list”https://www.maff.go.jp/pps/j/law/houki/shorei/Non_Quarantine_Pest_List.html</t>
  </si>
  <si>
    <t>Plant, plant products and other objects</t>
  </si>
  <si>
    <t>Adoption/publication/entry into force of reg.; Plant health; Pests; Pests; Plant health</t>
  </si>
  <si>
    <t xml:space="preserve">The Mine Safety and Health Administration (MSHA) is amending its existing standards to better protect miners against occupational exposure to respirable crystalline silica, a significant health hazard, and to improve respiratory protection for miners from exposure to airborne contaminants. MSHA's final rule also includes other requirements to protect miner health, such as exposure sampling, corrective actions to be taken when a miner's exposure exceeds the permissible exposure limit, and medical surveillance for metal and nonmetal mines.Effective date: The final rule is effective 17 June 2024, except for amendments 21, 22, 25, 26, 27, 30, 31, 34, 35, 36, 38, 39, 42, 43, 46, 47, 50, 51, 54, 55, 59, 60, 63, 64, 68, 69, 73, 74, 77, 78, 81, 82, 83, 86, 87, 90, 91, 94, 95, 98, 99, 102, 103, 106, 107, 110, and 111, which are effective 14 April 2025, and amendments 4, 5, 8, 9, 13, 14, 17, and 18, which are effective 8 April 2026.    Incorporation by reference date: The incorporation by reference of certain materials listed in the rule is approved by the Director of the Federal Register beginning 17 June 2024, except for the material in amendment 60, which is approved beginning 14 April 2025, and the material in amendments 9 and 18, which is approved beginning 8 April 2026. The incorporation by reference of certain other material listed in the rule was approved by the Director of the Federal Register as of 10 July 1995.    Compliance dates: Compliance with this final rule is required 14 April 2025 for coal mine operators and 8 April 2026 for metal and nonmetal mine operators.89 Federal Register (FR) 28218 on 18 April 2024, Title 30 Code of Federal Regulations (CFR) Parts 56576070717275, and 90_x000D_
https://www.govinfo.gov/content/pkg/FR-2024-04-18/html/2024-06920.htm_x000D_
https://www.govinfo.gov/content/pkg/FR-2024-04-18/pdf/2024-06920.pdfLowering Miners' Exposure to Respirable Crystalline Silica and Improving Respiratory Protection, Final rule; correction published 14 June 2024:_x000D_
https://www.govinfo.gov/content/pkg/FR-2024-06-14/html/2024-13151.htm_x000D_
https://www.govinfo.gov/content/pkg/FR-2024-06-14/pdf/2024-13151.pdf_x000D_
_x000D_
This final rule and other actions notified under the symbol G/TBT/N/USA/2017 are identified by Docket Number MSHA-2023-0001. The Docket Folder is available from Regulations.gov at https://www.regulations.gov/docket/MSHA-2023-0001/document and provides access to primary and supporting documents as well as comments received. Documents are also accessible from Regulations.gov by searching the Docket Number._x000D_
_x000D_
</t>
  </si>
  <si>
    <t>13.100 - Occupational safety. Industrial hygiene; 13.340.30 - Respiratory protective devices; 13.100 - Occupational safety. Industrial hygiene; 13.340.30 - Respiratory protective devices</t>
  </si>
  <si>
    <d:r xmlns:d="http://schemas.openxmlformats.org/spreadsheetml/2006/main">
      <d:rPr>
        <d:sz val="11"/>
        <d:rFont val="Calibri"/>
      </d:rPr>
      <d:t xml:space="preserve">https://members.wto.org/crnattachments/2024/TBT/USA/final_measure/24_03794_00_e.pdf</d:t>
    </d:r>
  </si>
  <si>
    <t xml:space="preserve">n-Methylpyrrolidone (NMP); Regulation Under the Toxic Substances 
Control Act (TSCA)</t>
  </si>
  <si>
    <t>Proposed rule - The Environmental Protection Agency (EPA or the "Agency") is proposing to address the unreasonable risk of injury to human health presented by n-methylpyrrolidone (NMP) under its conditions of use as documented in EPA's risk evaluation and risk determination for NMP pursuant to the Toxic Substances Control Act (TSCA). NMP is a widely used solvent in a variety of industrial, commercial, and consumer applications including the manufacture and production of electronics such as semiconductors, polymers, petrochemical products, paints and coatings, and paint and coating removers. EPA determined that NMP presents an unreasonable risk of injury to health due to the significant adverse health effects associated with exposure to NMP, including developmental post-implantation fetal loss from short-term exposure and reduced fertility and fecundity from long-term exposure. Additional adverse effects associated with exposure to NMP include liver toxicity, kidney toxicity, immunotoxicity, neurotoxicity, skin irritation, and sensitization. To address the identified unreasonable risk, EPA is proposing to: prohibit the manufacture (including import), processing, and distribution in commerce and use of NMP in several occupational conditions of use; require worker protections through an NMP workplace chemical protection program (WCPP) or prescriptive controls (including concentration limits) for most of the occupational conditions of use; require concentration limits on a consumer product; regulate certain consumer products to prevent commercial use; and establish recordkeeping, labeling, and downstream notification requirements. </t>
  </si>
  <si>
    <t>n-methylpyrrolidone (NMP); Environmental protection (ICS code(s): 13.020); Occupational safety. Industrial hygiene (ICS code(s): 13.100); Domestic safety (ICS code(s): 13.120); Production in the chemical industry (ICS code(s): 71.020); Products of the chemical industry (ICS code(s): 71.100)</t>
  </si>
  <si>
    <t>13.020 - Environmental protection; 13.100 - Occupational safety. Industrial hygiene; 13.120 - Domestic safety; 71.020 - Production in the chemical industry; 71.100 - Products of the chemical industry</t>
  </si>
  <si>
    <d:r xmlns:d="http://schemas.openxmlformats.org/spreadsheetml/2006/main">
      <d:rPr>
        <d:sz val="11"/>
        <d:rFont val="Calibri"/>
      </d:rPr>
      <d:t xml:space="preserve">https://members.wto.org/crnattachments/2024/TBT/USA/24_03795_00_e.pdf</d:t>
    </d:r>
  </si>
  <si>
    <t>Draft national technical regulation on safety for explosion-proof luminaires with voltage up to 220 V used in underground mine</t>
  </si>
  <si>
    <t>This draft technical regulation specifies requirements for the technical specifications, safety and management of explosion-proof luminaires with a voltage of up to 220 V used in underground mines. This draft technical regulation applies to organizations and persons who manufacture, import, test, verify, and use explosion-proof luminaires with a voltage of up to 220 V used in underground mines in the territory of Vietnam and other relevant organizations and persons.This draft technical regulation does not apply to personal lighting used in underground mines.</t>
  </si>
  <si>
    <t>Lamps and lighting fittings (HS 9405.41.90 )</t>
  </si>
  <si>
    <t>9405 - Luminaires and lighting fittings, incl. searchlights and spotlights, and parts thereof, n.e.s; illuminated signs, illuminated nameplates and the like having a permanently fixed light source, and parts thereof, n.e.s.</t>
  </si>
  <si>
    <d:r xmlns:d="http://schemas.openxmlformats.org/spreadsheetml/2006/main">
      <d:rPr>
        <d:sz val="11"/>
        <d:rFont val="Calibri"/>
      </d:rPr>
      <d:t xml:space="preserve">https://members.wto.org/crnattachments/2024/TBT/VNM/24_03797_00_x.pdf
https://chinhphu.vn/du-thao-vbqppl/du-thao-11-thong-tu-ban-hanh-quy-chuan-ky-thuat-quoc-gia-ve-an-toan-thuoc-no-ad1-moi-no-dung-cho-6465</d:t>
    </d:r>
  </si>
  <si>
    <t xml:space="preserve">On 29 March 2024, the California Energy Commission (CEC) published the Notice of Proposed Action (NOPA) (notified as G/TBT/N/USA/1336/Rev.1) with proposed amendments to the Building Energy Efficiency Standards contained in the California Code of Regulations (CCR), Title 24, Part 6 (also known as the California Energy Code) and associated administrative regulations in Title 24, Part 1, Chapter 10 (collectively called the Express Terms). The CEC made all the documents available for a 45-day public comment period ending 13 May 2024, and held three lead commissioner public hearings on 16, 17, and 18 April 2024._x000D_
Based on comments received during the 45-day comment period and the lead commissioner public hearings, the CEC is proposing changes to the original proposed Express Terms, and the public is invited to submit written comments during a 15-day comment period from 13 June through 28 June 2024. Any interested person may submit written comments to the CEC for consideration on or prior to 28 June 2024. The CEC appreciates receiving written comments at the earliest possible date. Comments submitted outside this comment period are considered untimely. CEC may, but is not required to, respond to untimely comments.Proposed 15-Day Regulatory Language:Building Energy Efficiency Standards 15-day languageReference Appendices 15-day languageNotice of 15-Day Public Comment Period2025 Energy Code Rulemaking Docket Log 24-BSTD-01: https://efiling.energy.ca.gov/Lists/DocketLog.aspx?docketnumber=24-BSTD-01WTO Members and their stakeholders are asked to submit comments to the USA TBT Enquiry Point. Comments received by the USA TBT Enquiry Point from WTO Members and their stakeholders by 4pmEastern Time on 28 June 2024 will be shared with CEC if received within the comment period.</t>
  </si>
  <si>
    <d:r xmlns:d="http://schemas.openxmlformats.org/spreadsheetml/2006/main">
      <d:rPr>
        <d:sz val="11"/>
        <d:rFont val="Calibri"/>
      </d:rPr>
      <d:t xml:space="preserve">https://members.wto.org/crnattachments/2024/TBT/USA/modification/24_03793_00_e.pdf
https://members.wto.org/crnattachments/2024/TBT/USA/modification/24_03793_01_e.pdf
https://members.wto.org/crnattachments/2024/TBT/USA/modification/24_03793_02_e.pdf</d:t>
    </d:r>
  </si>
  <si>
    <t>Proyecto de Primera Revisión del Reglamento Técnico Ecuatoriano PRTE 092 (1R) "Grupos electrógenos"</t>
  </si>
  <si>
    <t>Grupos electrógenos de baja potencia de hasta 12 kW y 1000 V, accionados por motores alternativos de combustión interna (MCIA).</t>
  </si>
  <si>
    <t xml:space="preserve">Grupos electrógenos con motor de émbolo "pistón" de encendido por compresión "motores diesel o semi-diesel", de potencia </t>
  </si>
  <si>
    <t>850211 - Generating sets with compression-ignition internal combustion piston engine "diesel or semi-diesel engine" of an output &lt;= 75 kVA; 850220 - Generating sets with spark-ignition internal combustion piston engine</t>
  </si>
  <si>
    <t>29.160.40 - Generating sets</t>
  </si>
  <si>
    <d:r xmlns:d="http://schemas.openxmlformats.org/spreadsheetml/2006/main">
      <d:rPr>
        <d:sz val="11"/>
        <d:rFont val="Calibri"/>
      </d:rPr>
      <d:t xml:space="preserve">https://members.wto.org/crnattachments/2024/TBT/ECU/24_03796_00_s.pdf
www.normalizacion.gob.ec</d:t>
    </d:r>
  </si>
  <si>
    <t>Draft resolution 1207, 02 October 2023</t>
  </si>
  <si>
    <t>Draft resolution 1207, 02 October 2023 - previously notified through  G/TBT/N/BRA/1505 - which  contains provisions on post-market registration changes and cancellation of market registration of biological products in order to optimize the modification  protocol process and its analysis by Anvisa, was adopted as Resolution - RDC number 876, 28 May 2024.The final text is available only in Portuguese and can be downloaded at: http://antigo.anvisa.gov.br/documents/10181/6662643/RDC_876_2024_.pdf/4bfb3a30-fa1c-467a-970f-4143dadf5061</t>
  </si>
  <si>
    <t>Pharmaceutics in general (ICS code(s): 11.120.01); Medicaments (ICS code(s): 11.120.10)</t>
  </si>
  <si>
    <t>11.120.01 - Pharmaceutics in general; 11.120.10 - Medicaments; 11.120.01 - Pharmaceutics in general; 11.120.10 - Medicaments</t>
  </si>
  <si>
    <t>Resolution 492, 15 April 2021 - previously notified through G/TBT/N/BRA/1033/Add.1 - which establishes procedure for changes in the process of post-market authorization of sanitizing products,s, was changed by Resolution 878, 28 May 2024.The final text is available only in Portuguese and can be downloaded at: http://antigo.anvisa.gov.br/documents/10181/6763611/RDC_878_2024_.pdf/449769a1-b303-4db5-8013-7978c47097f5</t>
  </si>
  <si>
    <t>330290 - Mixtures of odoriferous substances and mixtures, incl. alcoholic solutions, based on one or more of these substances, of a kind used as raw materials in industry (excl. food or drink industries); 340119 - Soap and organic surface-active products and preparations, in the form of bars, cakes, moulded pieces or shapes, and paper, wadding, felt and nonwovens, impregnated, coated or covered with soap or detergent (excl. those for toilet use, incl. medicated products); 340120 - Soap in the form of flakes, granules, powder, paste or in aqueous solution; 3402 - Organic surface-active agents (excl. soap); surface-active preparations, washing preparations, incl. auxiliary washing preparations, and cleaning preparations, whether or not containing soap (excl. those of heading 3401); 340119 - Soap and organic surface-active products and preparations, in the form of bars, cakes, moulded pieces or shapes, and paper, wadding, felt and nonwovens, impregnated, coated or covered with soap or detergent (excl. those for toilet use, incl. medicated products); 330290 - Mixtures of odoriferous substances and mixtures, incl. alcoholic solutions, based on one or more of these substances, of a kind used as raw materials in industry (excl. food or drink industries); 340120 - Soap in the form of flakes, granules, powder, paste or in aqueous solution; 3402 - Organic surface-active agents (excl. soap); surface-active preparations, washing preparations, incl. auxiliary washing preparations, and cleaning preparations, whether or not containing soap (excl. those of heading 3401)</t>
  </si>
  <si>
    <d:r xmlns:d="http://schemas.openxmlformats.org/spreadsheetml/2006/main">
      <d:rPr>
        <d:sz val="11"/>
        <d:rFont val="Calibri"/>
      </d:rPr>
      <d:t xml:space="preserve">https://members.wto.org/crnattachments/2024/TBT/BRA/modification/24_03748_00_x.pdf</d:t>
    </d:r>
  </si>
  <si>
    <t>Proposed establishment of the “Temporary Recognition of Standards and Specifications on Hygiene Products”</t>
  </si>
  <si>
    <t xml:space="preserve">MFDS is proposing to establish an administrative rule, “Temporary Recognition of Standards and Specifications on Hygiene Products” as follows: _x000D_
A. to prescribe subjects that have not been recognized as hygiene products before;_x000D_
B. to prescribe the procedure to recognize the subjects as hygiene products; _x000D_
C. to prescribe forms that applicants are required to fill out and submit; and_x000D_
D. to prescribe how to prepare the document to be submitted in the Appendix 1.</t>
  </si>
  <si>
    <d:r xmlns:d="http://schemas.openxmlformats.org/spreadsheetml/2006/main">
      <d:rPr>
        <d:sz val="11"/>
        <d:rFont val="Calibri"/>
      </d:rPr>
      <d:t xml:space="preserve">https://members.wto.org/crnattachments/2024/TBT/KOR/24_03757_00_x.pdf</d:t>
    </d:r>
  </si>
  <si>
    <t>Draft Policy Statement Regarding Safety Continuum for Powered-Lift</t>
  </si>
  <si>
    <t>Notification of availability; request for comments by 12 August 2024 - This policy establishes a safety continuum for the certification of powered-lift. The purpose of the safety continuum concept established by this policy is to provide a balanced approach between the risk and safety benefits for certificating such aircraft. This policy identifies certification levels for powered-lift and establishes a graduated scale of compliance standards for the certification of these aircraft. These levels are based on aircraft maximum gross weight, maximum passenger seating configuration, and type of operation and are used to establish the safety objectives for system safety and aircraft performance.</t>
  </si>
  <si>
    <t xml:space="preserve">Safety continuum for the certification of 
powered-lift; Aircraft and space vehicles in general (ICS code(s): 49.020)</t>
  </si>
  <si>
    <d:r xmlns:d="http://schemas.openxmlformats.org/spreadsheetml/2006/main">
      <d:rPr>
        <d:sz val="11"/>
        <d:rFont val="Calibri"/>
      </d:rPr>
      <d:t xml:space="preserve">https://members.wto.org/crnattachments/2024/TBT/USA/24_03767_00_e.pdf
https://members.wto.org/crnattachments/2024/TBT/USA/24_03767_01_e.pdf
https://members.wto.org/crnattachments/2024/TBT/USA/24_03767_02_e.pdf</d:t>
    </d:r>
  </si>
  <si>
    <t>Draft national technical regulation on safety of industrial explosive materials - Electric detonator number 8</t>
  </si>
  <si>
    <t>This draft technical regulation specifies requirements for technical specifications, testing methods and management measures for Electric detonator number 8. This draft technical regulation applies to organizations and persons engaged in activities related to Electric detonator number 8 in the territory of Vietnam and other relevant organizations and persons.</t>
  </si>
  <si>
    <t>Products of explosives (HS 3602.00.00)</t>
  </si>
  <si>
    <t>3603 - Safety fuses; detonating cords; percussion or detonating caps; igniters; electric detonators (excl. grenade detonators and cartridge cases, whether or not with percussion caps); 3602 - Prepared explosives, other than propellent powders.</t>
  </si>
  <si>
    <d:r xmlns:d="http://schemas.openxmlformats.org/spreadsheetml/2006/main">
      <d:rPr>
        <d:sz val="11"/>
        <d:rFont val="Calibri"/>
      </d:rPr>
      <d:t xml:space="preserve">https://members.wto.org/crnattachments/2024/TBT/VNM/24_03777_00_x.pdf
https://chinhphu.vn/du-thao-vbqppl/du-thao-11-thong-tu-ban-hanh-quy-chuan-ky-thuat-quoc-gia-ve-an-toan-thuoc-no-ad1-moi-no-dung-cho-6465</d:t>
    </d:r>
  </si>
  <si>
    <t>PROYECTO DE PROTOCOLO DE ANALISIS Y/O ENSAYOS DE SEGURIDAD DE PRODUCTO DE COMBUSTIBLES LÍQUIDOS</t>
  </si>
  <si>
    <t>El presente protocolo establece el procedimiento de certificación y requisitos de Seguridad para las “Atomizadores de mochila (Fumigadora) accionados motor de combustión interna a combustibles líquidos”, de acuerdo con el alcance y campo de aplicación de la norma ISO 28139:2009.</t>
  </si>
  <si>
    <t>Atomizadores de mochila (Fumigadora) accionados motor de combustión interna a combustibles líquidos.</t>
  </si>
  <si>
    <d:r xmlns:d="http://schemas.openxmlformats.org/spreadsheetml/2006/main">
      <d:rPr>
        <d:sz val="11"/>
        <d:rFont val="Calibri"/>
      </d:rPr>
      <d:t xml:space="preserve">https://members.wto.org/crnattachments/2024/TBT/CHL/24_03756_00_s.pdf
https://www.sec.cl/consulta-publica/#1562021903705-db277904-ea8a</d:t>
    </d:r>
  </si>
  <si>
    <t>Draft national technical regulation on safety of industrial explosive materials - Amonit explosive AD1 </t>
  </si>
  <si>
    <t>This draft technical regulation specifies requirements for technical specifications, test methods and management measures for Amonit explosive AD1. This draft technical regulation applies to organizations and persons engaged in activities related to Amonit explosive AD1 in the territory of Vietnam and other relevant organizations and persons.</t>
  </si>
  <si>
    <d:r xmlns:d="http://schemas.openxmlformats.org/spreadsheetml/2006/main">
      <d:rPr>
        <d:sz val="11"/>
        <d:rFont val="Calibri"/>
      </d:rPr>
      <d:t xml:space="preserve">https://members.wto.org/crnattachments/2024/TBT/VNM/24_03776_00_x.pdf
https://chinhphu.vn/du-thao-vbqppl/du-thao-11-thong-tu-ban-hanh-quy-chuan-ky-thuat-quoc-gia-ve-an-toan-thuoc-no-ad1-moi-no-dung-cho-6465</d:t>
    </d:r>
  </si>
  <si>
    <t>Draft national technical regulation on safety of industrial explosive materials - Plain detonator number 8 </t>
  </si>
  <si>
    <t>This draft technical regulation specifies requirements for technical specifications, testing methods and management measures for plain detonator number 8. This draft technical regulation applies to organizations and persons engaged in activities related to plain detonator number 8 in the territory of Vietnam and other relevant organizations and persons.</t>
  </si>
  <si>
    <d:r xmlns:d="http://schemas.openxmlformats.org/spreadsheetml/2006/main">
      <d:rPr>
        <d:sz val="11"/>
        <d:rFont val="Calibri"/>
      </d:rPr>
      <d:t xml:space="preserve">https://members.wto.org/crnattachments/2024/TBT/VNM/24_03782_00_x.pdf
https://chinhphu.vn/du-thao-vbqppl/du-thao-11-thong-tu-ban-hanh-quy-chuan-ky-thuat-quoc-gia-ve-an-toan-thuoc-no-ad1-moi-no-dung-cho-6465</d:t>
    </d:r>
  </si>
  <si>
    <t>Proyecto de Protocolo de Análisis y/o ensayos de Seguridad de Producto Combustibles Líquidos, PC Nº 122:2024.</t>
  </si>
  <si>
    <t>El presente protocolo establece el procedimiento de certificación y requisitos de Seguridad para las “Desbrozadoras y cortadora de césped (orilladora) portátiles que utilizan motor de combustión interna a combustibles líquidos”, de acuerdo con el alcance y campo de aplicación de la norma ISO 11806-1:2011.</t>
  </si>
  <si>
    <t>Desbrozadora y cortadora de césped (orilladora) portátiles que utilizan motor de combustión interna a combustibles líquidos.</t>
  </si>
  <si>
    <d:r xmlns:d="http://schemas.openxmlformats.org/spreadsheetml/2006/main">
      <d:rPr>
        <d:sz val="11"/>
        <d:rFont val="Calibri"/>
      </d:rPr>
      <d:t xml:space="preserve">https://members.wto.org/crnattachments/2024/TBT/CHL/24_03755_00_s.pdf
https://www.sec.cl/consulta-publica/#1562021903705-db277904-ea8a</d:t>
    </d:r>
  </si>
  <si>
    <t>The Ministerial Decree No. 141/2024 (2 page(s), in Arabic) is concerned with ES 4944 /2005 for “dental equipment connection for supply and waste”.</t>
  </si>
  <si>
    <t>The Ministerial Decree No. 141/2024 cancels the Egyptian standard ES 4944 /2005 for " dental equipment connection for supply and waste "Worth mentioning is that this standard was replaced by ES 4761-1 for "dentistry - stationary dental units and dental patient chairs- part: 1 - general requirements" which was formerly notified in G/TBT/N/EGY/3/Add.75 dated 29 May 2024.</t>
  </si>
  <si>
    <t>Dental equipment (ICS code(s): 11.060.20)</t>
  </si>
  <si>
    <t>11.060.20 - Dental equipment</t>
  </si>
  <si>
    <t>The Environmental Protection (Single-use Vapes) (Wales) Regulations 2024</t>
  </si>
  <si>
    <t>These regulations will introduce a ban on the supply of single-use electronic cigarettes in Wales. These regulations define single-use electronic cigarettes as devices that:• are not rechargeable, not refillable or are neither rechargeable nor refillable, and • vaporise substances (other than tobacco) for the purpose of inhalation through a mouthpiece.The restriction will not apply to single-use electronic cigarettes that: • are refillable by means of a refill container, or tank or single-use cartridge, and • are any of the above and rechargeable. Breach of these prohibitions will be an offence under the regulations. The regulations provide for fixed monetary penalties, variable monetary penalties, compliance notices and stop notices as well as non-compliance penalties. Criminal sanctions will also be provided for where an enforcement undertaking has not been complied with.</t>
  </si>
  <si>
    <t>HS 24.04 Products containing tobacco, reconstituted tobacco, nicotine, or tobacco or nicotine substitutes, intended for inhalation without combustion; other nicotine containing products intended for the intake of nicotine into the human body – products intended for inhalation without combustion.• Nicotine-containing disposable electronic cigarettes (HS 2404.12 - Other, containing nicotine) • Non-nicotine containing disposable electronic cigarettes (HS 2404.19 – Other)</t>
  </si>
  <si>
    <t>2404 - Products containing tobacco, reconstituted tobacco, nicotine, or tobacco or nicotine substitutes, intended for inhalation without combustion; other nicotine containing products intended for the intake of nicotine into the human body; 240419 - Products containing tobacco or nicotine substitutes, intended for inhalation without combustion (excl. containing nicotine); 240412 - Products containing nicotine, intended for inhalation without combustion (excl. containing tobacco or reconstituted tobacco)</t>
  </si>
  <si>
    <d:r xmlns:d="http://schemas.openxmlformats.org/spreadsheetml/2006/main">
      <d:rPr>
        <d:sz val="11"/>
        <d:rFont val="Calibri"/>
      </d:rPr>
      <d:t xml:space="preserve">https://members.wto.org/crnattachments/2024/TBT/GBR/24_03758_00_e.pdf</d:t>
    </d:r>
  </si>
  <si>
    <t>Draft Resolution 1261, 7 June 2024</t>
  </si>
  <si>
    <t>This draft resolution proposes the inclusion of active ingredient F80 - FLUOXAPIPROLINE on the Monograph List of Active Ingredients for Pesticides, Household Cleaning Products and Wood Preservatives, which was published by Normative Instruction 103 on 19 October 2021 in the Brazilian Official Gazette (DOU - Diário Oficial da União).</t>
  </si>
  <si>
    <d:r xmlns:d="http://schemas.openxmlformats.org/spreadsheetml/2006/main">
      <d:rPr>
        <d:sz val="11"/>
        <d:rFont val="Calibri"/>
      </d:rPr>
      <d:t xml:space="preserve">https://members.wto.org/crnattachments/2024/SPS/BRA/24_03772_00_x.pdf
Draft: https://antigo.anvisa.gov.br/documents/10181/6767812/CONSULTA+PUBLICA+N%C2%BA+1261+GGTOX.pdf/1bb36d9e-9083-4a7f-a668-872e9a56c57a
Comment form: https://www.gov.br/anvisa/pt-br/centraisdeconteudo/publicacoes/agrotoxicos/publicacoes/formulario-padrao-consulta-publica-ggtox.docx/view</d:t>
    </d:r>
  </si>
  <si>
    <t>Proyecto de la Primera Revisión del Reglamento Técnico Ecuatoriano PRTE 084 (1R) “vidrios de seguridad para vehículos automotores”</t>
  </si>
  <si>
    <t>El presente reglamento técnico ecuatoriano aplica a los siguientes productos que se usen en los vehículos automotores pertenecientes a las categorías vehiculares establecidas en la NTE INEN 2656 “Clasificación vehicular”; sean estos productos nacionales o importados que se comercialicen en el Ecuador:Vidrios de seguridad para las categorías vehiculares: L, M, N, O y T:Vidrios de seguridad laminados,Vidrios de seguridad templados.</t>
  </si>
  <si>
    <t>Vidrio templado (exc. de dimensiones y formatos que permitan su empleo en automóviles, aeronaves, barcos u otros vehículos, así como cristales para reloj y para gafas) (Código(s) del SA: 700719); - Vidrio contrachapado (Código(s) del SA: 70072); Parabrisas delanteros "parabrisas", lunas traseras y otras ventanas para vehículos automóviles de las partidas 8701 a 8705 (Código(s) del SA: 870822)</t>
  </si>
  <si>
    <t>700719 - Toughened "tempered" safety glass (excl. glass of size and shape suitable for incorporation in motor vehicles, aircraft, spacecraft, vessels and other vehicles, and lenses for spectacles and goggles, etc., and for clocks and watches); 70072 - - Laminated safety glass:; 870822 - Front windscreens "windshields", rear windows and other windows for motor vehicles of headings 8701 to 8705</t>
  </si>
  <si>
    <d:r xmlns:d="http://schemas.openxmlformats.org/spreadsheetml/2006/main">
      <d:rPr>
        <d:sz val="11"/>
        <d:rFont val="Calibri"/>
      </d:rPr>
      <d:t xml:space="preserve">https://members.wto.org/crnattachments/2024/TBT/ECU/24_03768_00_s.pdf</d:t>
    </d:r>
  </si>
  <si>
    <t>Draft national technical regulation on safety of industrial explosive materials - ANFO explosives</t>
  </si>
  <si>
    <t>This draft technical regulation specifies requirements for technical specifications, testing methods and management measures for ANFO explosives. This draft technical regulation applies to organizations and persons engaged in activities related to ANFO explosives in the territory of Vietnam and other relevant organizations and persons.</t>
  </si>
  <si>
    <d:r xmlns:d="http://schemas.openxmlformats.org/spreadsheetml/2006/main">
      <d:rPr>
        <d:sz val="11"/>
        <d:rFont val="Calibri"/>
      </d:rPr>
      <d:t xml:space="preserve">https://members.wto.org/crnattachments/2024/TBT/VNM/24_03780_00_x.pdf
https://chinhphu.vn/du-thao-vbqppl/du-thao-11-thong-tu-ban-hanh-quy-chuan-ky-thuat-quoc-gia-ve-an-toan-thuoc-no-ad1-moi-no-dung-cho-6465</d:t>
    </d:r>
  </si>
  <si>
    <t xml:space="preserve">Proyecto de modificación a la Norma Oficial Mexicana NOM-044-SEMARNAT-2006, Que establece los límites máximos permisibles de emisión de hidrocarburos totales, hidrocarburos no metano, monóxido de carbono, óxidos de nitrógeno y partículas provenientes del escape de motores nuevos que usan diesel como combustible y que se utilizarán para la propulsión de vehículos automotores nuevos con peso bruto vehicular mayor de 3,857 kilogramos (Draft Amendment to Mexican Official Standard NOM-044-SEMARNAT-2006 establishing the maximum permissible limits for emissions of total hydrocarbons, non-methane hydrocarbons, carbon monoxide, nitrogen oxides and particles from the exhaust pipes of new diesel engines to be used for the propulsion of new motor vehicles of a gross vehicle weight exceeding 3,857 kg) •••See below table 001 Description: The notified text leaves without effect the Agreement amending the period of application for the AA Standards laid down in the footnotes to tables 1, 2 and 4 in sections 4.1 and 4.2 of Mexican Official Standard NOM-044-SEMARNAT-2017 establishing the maximum permissible limits for emissions of carbon monoxide, nitrogen oxides, non-methane hydrocarbons, non-methane hydrocarbons plus nitrogen oxides, particles and ammonia from the exhaust pipes of new diesel engines to be used for the propulsion of motor vehicles of a gross vehicle weight exceeding 3,857 kg, and from the exhaust pipes of new motor vehicles of a gross vehicle weight exceeding 3,857 kg equipped with this type of engine, published on 26 November 2021. •••Table001 |  Reason for Addendum:   | |</t>
  </si>
  <si>
    <t xml:space="preserve">The notified text leaves without effect the Agreement amending the period of application for the AA Standards laid down in the footnotes to tables 1, 2 and 4 in sections 4.1 and 4.2 of Mexican Official Standard NOM-044-SEMARNAT-2017 establishing the maximum permissible limits for emissions of carbon monoxide, nitrogen oxides, non-methane hydrocarbons, non-methane hydrocarbons plus nitrogen oxides, particles and ammonia from the exhaust pipes of new diesel engines to be used for the propulsion of motor vehicles of a gross vehicle weight exceeding 3,857 kg, and from the exhaust pipes of new motor vehicles of a gross vehicle weight exceeding 3,857 kg equipped with this type of engine, published on 26 November 2021. •••Table001 |  Reason for Addendum:   | |</t>
  </si>
  <si>
    <t>VEHICLES OTHER THAN RAILWAY OR TRAMWAY ROLLING-STOCK, AND PARTS AND ACCESSORIES THEREOF (HS code(s): 87)</t>
  </si>
  <si>
    <t>87 - VEHICLES OTHER THAN RAILWAY OR TRAMWAY ROLLING-STOCK, AND PARTS AND ACCESSORIES THEREOF; 87 - VEHICLES OTHER THAN RAILWAY OR TRAMWAY ROLLING-STOCK, AND PARTS AND ACCESSORIES THEREOF</t>
  </si>
  <si>
    <t>43.060 - Internal combustion engines for road vehicles; 43.060 - Internal combustion engines for road vehicles</t>
  </si>
  <si>
    <d:r xmlns:d="http://schemas.openxmlformats.org/spreadsheetml/2006/main">
      <d:rPr>
        <d:sz val="11"/>
        <d:rFont val="Calibri"/>
      </d:rPr>
      <d:t xml:space="preserve">https://members.wto.org/crnattachments/2024/TBT/MEX/modification/24_03773_00_s.pdf
https://www.dof.gob.mx/nota_detalle.php?codigo=5724622&amp;fecha=25/04/2024#gsc.tab=0
</d:t>
    </d:r>
  </si>
  <si>
    <t>Protection of Stratospheric Ozone: Listing of Substitutes Under the Significant New Alternatives Policy Program in Commercial and Industrial Refrigeration</t>
  </si>
  <si>
    <t>Pursuant to the U.S. Environmental Protection Agency's Significant New Alternatives Policy program, this action lists several substitutes as acceptable, subject to use conditions, for retail food refrigeration, commercial ice machines, industrial process refrigeration, cold storage warehouses, and ice skating rinks. Through this action, EPA is incorporating by reference standards which establish requirements for commercial refrigerating appliances and commercial ice machines, safe use of flammable refrigerants, and safe design, construction, installation, and operation of refrigeration systems. This action also exempts propane, in the refrigerated food processing and dispensing end-use, from the prohibition under the Clean Air Act (CAA) on knowingly venting, releasing, or disposing of substitute refrigerants in the course of maintaining, servicing, repairing or disposing of an appliance or industrial process refrigeration, as the Administrator is determining, on the basis of existing evidence, that such venting, release, or disposal of this substance in this end-use does not pose a threat to the environment.This rule is effective 15 July 2024. The incorporation by reference of certain material listed in the rule is approved by the Director of the Federal Register as of 15 July 2024. The incorporation by reference of certain other material listed in the rule was approved by the Director of the Federal Register as of 21 February 2012 (76 FR 78832), 11 May 2015 (79 FR 19454), and 3 January 2017 (81 FR 86778The Notification Authority offers these alternative and possibly more accurate citations for awareness and reference: 21 February 2012 (76 FR 78832), 11 May 2015 (80 FR 19454), and 1 December 2016 (81 FR 86778Title 40 Code of Federal Regulations (CFR) Part 82This final rule and the notice of proposed rulemaking notified as G/TBT/N/USA/2003 are identified by Docket Number EPA-HQ-OAR-2023-0043. The Docket Folder is available on Regulations.gov at https://www.regulations.gov/docket/EPA-HQ-OAR-2023-0043/document and provides access to primary documents as well as comments received. Documents are also accessible from Regulations.gov by searching the Docket Number. </t>
  </si>
  <si>
    <t>Substitute refrigerants; commercial and industrial refrigeration; commercial refrigerating appliances and commercial ice machines; Environmental protection (ICS code(s): 13.020); Refrigerating technology (ICS code(s): 27.200); Production in the chemical industry (ICS code(s): 71.020); Products of the chemical industry (ICS code(s): 71.100); Commercial refrigerating appliances (ICS code(s): 97.130.20); Sports facilities (ICS code(s): 97.220.10)</t>
  </si>
  <si>
    <t>13.020 - Environmental protection; 27.200 - Refrigerating technology; 71.020 - Production in the chemical industry; 71.100 - Products of the chemical industry; 97.130.20 - Commercial refrigerating appliances; 97.220.10 - Sports facilities; 13.020 - Environmental protection; 27.200 - Refrigerating technology; 71.020 - Production in the chemical industry; 71.100 - Products of the chemical industry; 97.130.20 - Commercial refrigerating appliances; 97.220.10 - Sports facilities</t>
  </si>
  <si>
    <d:r xmlns:d="http://schemas.openxmlformats.org/spreadsheetml/2006/main">
      <d:rPr>
        <d:sz val="11"/>
        <d:rFont val="Calibri"/>
      </d:rPr>
      <d:t xml:space="preserve">https://members.wto.org/crnattachments/2024/TBT/USA/final_measure/24_03766_00_e.pdf
89 Federal Register (FR) 50410
 Title 40 Code of Federal Regulations (CFR) Part 82: 
https://www.govinfo.gov/content/pkg/FR-2024-06-13/html/2024-11690.htm
https://www.govinfo.gov/content/pkg/FR-2024-06-13/pdf/2024-11690.pdf</d:t>
    </d:r>
  </si>
  <si>
    <t>Draft national technical regulation on safety of industrial explosive materials - Primer for industrial explosives</t>
  </si>
  <si>
    <t>This draft technical regulation specifies requirements for technical specifications, test methods and management measures for Primer for industrial explosives. This draft technical regulation applies to organizations and persons engaged in activities related to Primer for industrial explosives in the territory of Vietnam and other relevant organizations and persons.</t>
  </si>
  <si>
    <d:r xmlns:d="http://schemas.openxmlformats.org/spreadsheetml/2006/main">
      <d:rPr>
        <d:sz val="11"/>
        <d:rFont val="Calibri"/>
      </d:rPr>
      <d:t xml:space="preserve">https://members.wto.org/crnattachments/2024/TBT/VNM/24_03778_00_x.pdf
https://chinhphu.vn/du-thao-vbqppl/du-thao-11-thong-tu-ban-hanh-quy-chuan-ky-thuat-quoc-gia-ve-an-toan-thuoc-no-ad1-moi-no-dung-cho-6465</d:t>
    </d:r>
  </si>
  <si>
    <t xml:space="preserve">Multi-Pollutant Emissions Standards for Model Years 2027 and 
Later Light-Duty and Medium-Duty Vehicles; Correction</t>
  </si>
  <si>
    <t xml:space="preserve">89 Federal Register (FR) 50234, Title 40 Code of Federal Regulations (CFR) Parts 8586600103610371066, and 1068_x000D_
https://www.govinfo.gov/content/pkg/FR-2024-06-13/html/2024-12590.htm_x000D_
https://www.govinfo.gov/content/pkg/FR-2024-06-13/pdf/2024-12590.pdfThe Environmental Protection Agency (EPA) is correcting a &gt;final rule published in the Federal Register of 18 April 2024, which 
will be effective 17 June 2024. The final rule established new 
emission standards for light-duty and medium-duty motor vehicles. This 
document corrects inadvertent errors introduced in preparing the 
regulatory text for publication. These corrections do not include any 
substantives change to the final rule.&gt;This correction is effective 17 June 2024.This final rule; correction and previous actions notified under the symbol G/TBT/N/USA/1991 are identified by Docket Number EPA-HQ-OAR-2022-0829. The Docket Folder is available on Regulations.gov at https://www.regulations.gov/docket/EPA-HQ-OAR-2022-0829/document and provides access to primary and supporting documents as well as comments received. Documents are also accessible from Regulations.gov by searching the Docket Number.</t>
  </si>
  <si>
    <t>Light-duty vehicles and Class 2b and 3 ("medium-duty") vehicles; Multi-pollutant emissions; Quality (ICS code(s): 03.120); Environmental protection (ICS code(s): 13.020); Air quality (ICS code(s): 13.040); Road vehicle systems (ICS code(s): 43.040); Fuel systems (ICS code(s): 43.060.40); Electric road vehicles (ICS code(s): 43.120)</t>
  </si>
  <si>
    <t>03.120 - Quality; 03.120 - Quality; 03.120 - Quality; 13.020 - Environmental protection; 13.020 - Environmental protection; 13.020 - Environmental protection; 13.040 - Air quality; 13.040 - Air quality; 13.040 - Air quality; 43.040 - Road vehicle systems; 43.040 - Road vehicle systems; 43.040 - Road vehicle systems; 43.060.40 - Fuel systems; 43.060.40 - Fuel systems; 43.060.40 - Fuel systems; 43.120 - Electric road vehicles; 43.120 - Electric road vehicles; 43.120 - Electric road vehicles</t>
  </si>
  <si>
    <d:r xmlns:d="http://schemas.openxmlformats.org/spreadsheetml/2006/main">
      <d:rPr>
        <d:sz val="11"/>
        <d:rFont val="Calibri"/>
      </d:rPr>
      <d:t xml:space="preserve">https://members.wto.org/crnattachments/2024/TBT/USA/24_03764_00_e.pdf</d:t>
    </d:r>
  </si>
  <si>
    <t>Draft national technical regulation on safety of industrial explosive materials - Delay electric detonator </t>
  </si>
  <si>
    <t>This draft technical regulation specifies requirements for technical specifications, testing methods and management measures for delay electric detonator. This draft technical regulation applies to organizations and persons engaged in activities related to delay electric detonator in the territory of Vietnam and other relevant organizations and persons.</t>
  </si>
  <si>
    <d:r xmlns:d="http://schemas.openxmlformats.org/spreadsheetml/2006/main">
      <d:rPr>
        <d:sz val="11"/>
        <d:rFont val="Calibri"/>
      </d:rPr>
      <d:t xml:space="preserve">https://members.wto.org/crnattachments/2024/TBT/VNM/24_03781_00_x.pdf
https://chinhphu.vn/du-thao-vbqppl/du-thao-11-thong-tu-ban-hanh-quy-chuan-ky-thuat-quoc-gia-ve-an-toan-thuoc-no-ad1-moi-no-dung-cho-6465</d:t>
    </d:r>
  </si>
  <si>
    <t>Draft national technical regulation on safety of industrial explosive materials - Fuse</t>
  </si>
  <si>
    <t>This draft technical regulation specifies requirements for technical specifications, testing methods and management measures for delay fuse. This draft technical regulation applies to organizations and persons engaged in activities related to delay fuse in the territory of Vietnam and other relevant organizations and persons.</t>
  </si>
  <si>
    <d:r xmlns:d="http://schemas.openxmlformats.org/spreadsheetml/2006/main">
      <d:rPr>
        <d:sz val="11"/>
        <d:rFont val="Calibri"/>
      </d:rPr>
      <d:t xml:space="preserve">https://members.wto.org/crnattachments/2024/TBT/VNM/24_03784_00_x.pdf
https://chinhphu.vn/du-thao-vbqppl/du-thao-11-thong-tu-ban-hanh-quy-chuan-ky-thuat-quoc-gia-ve-an-toan-thuoc-no-ad1-moi-no-dung-cho-6465</d:t>
    </d:r>
  </si>
  <si>
    <t>Resolution of the Cabinet of Ministers of Ukraine No. 529  "On Amendments to the Resolution of the Cabinet of Ministers of Ukraine of 26 May 2005 No. 376" of 26 April 2024 </t>
  </si>
  <si>
    <t xml:space="preserve">The Resolution amends the Procedure of State Registration (Re-registration) of Medicines, approved by the Resolution of the Cabinet of Ministers of Ukraine No. 376 of 26 May 2005, and ensures:_x000D_
- the implementation of a simplified state registration procedure of medicines purchased by a person authorised to carry out procurement in the sphere of healthcare, as well as those that are subject to procurement based on the results of a procurement procedure conducted by a specialised organisation carrying out procurement in accordance with a procurement agreement between the Ministry of Health and the relevant specialised procurement organisation;_x000D_
- the establishment and extension of the validity period of registration certificates for medicines purchased by a person authorised to carry out procurement in the sphere of healthcare, and those that are subject to procurement based on the results of a procurement procedure conducted by a specialised procurement organisation carrying out procurement in accordance with a procurement agreement between the Ministry of Health and the relevant specialised procurement organisation. </t>
  </si>
  <si>
    <t>Medicines (medical immunobiological preparations) </t>
  </si>
  <si>
    <d:r xmlns:d="http://schemas.openxmlformats.org/spreadsheetml/2006/main">
      <d:rPr>
        <d:sz val="11"/>
        <d:rFont val="Calibri"/>
      </d:rPr>
      <d:t xml:space="preserve">https://members.wto.org/crnattachments/2024/TBT/UKR/24_03783_00_x.pdf
https://members.wto.org/crnattachments/2024/TBT/UKR/24_03783_01_x.pdf
https://members.wto.org/crnattachments/2024/TBT/UKR/24_03783_02_x.pdf
https://zakon.rada.gov.ua/laws/show/529-2024-%D0%BF#Text</d:t>
    </d:r>
  </si>
  <si>
    <t>Draft national technical regulation on safety of industrial explosive materials - Water resistance detonating cords</t>
  </si>
  <si>
    <t>This draft technical regulation specifies requirements for technical specifications, testing methods and management measures for water resistance detonating cords. This draft technical regulation applies to organizations and persons engaged in activities related to water resistance detonating cords in the territory of Vietnam and other relevant organizations and persons.</t>
  </si>
  <si>
    <d:r xmlns:d="http://schemas.openxmlformats.org/spreadsheetml/2006/main">
      <d:rPr>
        <d:sz val="11"/>
        <d:rFont val="Calibri"/>
      </d:rPr>
      <d:t xml:space="preserve">https://members.wto.org/crnattachments/2024/TBT/VNM/24_03785_00_x.pdf
https://chinhphu.vn/du-thao-vbqppl/du-thao-11-thong-tu-ban-hanh-quy-chuan-ky-thuat-quoc-gia-ve-an-toan-thuoc-no-ad1-moi-no-dung-cho-6465</d:t>
    </d:r>
  </si>
  <si>
    <t>Proposal for amendment to legal inspection of pushchairs and prams</t>
  </si>
  <si>
    <t>The Bureau of Standards, Metrology and Inspection intends to make changes to the inspection standards for pushchairs and prams by adopting the updated version of CNS 12940, which was published on 6 October 2022, to provide better protection of children. The new version of CNS 12940-1 and CNS 12940-2 adds new requirements for pushchairs for children between 15 kg to 22 kg, and integrated  step platform. The conformity assessment procedure is either Type Approved Batch Inspection or Registration of Product Certification (Module 2 + Module 3).</t>
  </si>
  <si>
    <t>Baby carriages and parts thereof. (HS code(s): 8715); Domestic and commercial equipment. Entertainment. Sports (ICS code(s): 97)</t>
  </si>
  <si>
    <t>97 - Domestic and commercial equipment. Entertainment. Sports</t>
  </si>
  <si>
    <d:r xmlns:d="http://schemas.openxmlformats.org/spreadsheetml/2006/main">
      <d:rPr>
        <d:sz val="11"/>
        <d:rFont val="Calibri"/>
      </d:rPr>
      <d:t xml:space="preserve">https://members.wto.org/crnattachments/2024/TBT/TPKM/24_03775_00_e.pdf
https://members.wto.org/crnattachments/2024/TBT/TPKM/24_03775_00_x.pdf</d:t>
    </d:r>
  </si>
  <si>
    <t>Draft Resolution of the Cabinet of Ministers of Ukraine "On Amendments to the Procedure of inspection, survey, phytosanitary examination, supervision, monitoring, disinfection of regulated objects, issuance of certificates in accordance with the Law of Ukraine "On Plant Quarantine", control of inspections in terms of sampling and selective control over the conduct of phytosanitary examination"</t>
  </si>
  <si>
    <t>The proposed amendments to the Procedure of inspection, survey, phytosanitary examination, supervision, monitoring, disinfection of regulated objects, issuance of certificates in accordance with the Law of Ukraine "On Plant Quarantine", control of inspections in terms of sampling and selective control over the conduct of phytosanitary examination (hereinafter - the Procedure) are designed, in particular, to regulate digitalization in the field of plant protection. Some amendments to legislation are being initiated to ensure the possibility of exchanging electronic phytosanitary certificates (ePhytos) through the Hub. Thus, Ukraine's NPPO will be able to accept ePhytos issued by exporting countries. In addition, provisions relating to requirements for phytosanitary certificates and unacceptable, invalid and fraudulent phytosanitary certificates are brought into line with ISPM 12.</t>
  </si>
  <si>
    <d:r xmlns:d="http://schemas.openxmlformats.org/spreadsheetml/2006/main">
      <d:rPr>
        <d:sz val="11"/>
        <d:rFont val="Calibri"/>
      </d:rPr>
      <d:t xml:space="preserve">https://members.wto.org/crnattachments/2024/SPS/UKR/24_03761_00_x.pdf
https://minagro.gov.ua/npa/pro-vnesennia-zmin-do-poriadku-provedennia-inspektuvannia-ohliadu-fitosanitarnoi-ekspertyzy-analiziv-povtornoi-fitosanitarnoi-arbitrazhnoi-ekspertyzy-analiziv-nahliadu-obstezhennia-monitorynh</d:t>
    </d:r>
  </si>
  <si>
    <t>Draft national technical regulation on safety of industrial explosive materials - Emulsion explosives for underground mines, underground construction without combustible gases</t>
  </si>
  <si>
    <t>This draft technical regulation specifies requirements for technical specifications, testing methods and management measures for emulsion explosives for underground mines, underground construction without combustible gases. This draft technical regulation applies to organizations and persons engaged inactivities related to emulsion explosives for underground mines, underground construction without combustible gases in the territory of Vietnam and other relevant organizations and persons.</t>
  </si>
  <si>
    <d:r xmlns:d="http://schemas.openxmlformats.org/spreadsheetml/2006/main">
      <d:rPr>
        <d:sz val="11"/>
        <d:rFont val="Calibri"/>
      </d:rPr>
      <d:t xml:space="preserve">https://members.wto.org/crnattachments/2024/TBT/VNM/24_03779_00_x.pdf
https://chinhphu.vn/du-thao-vbqppl/du-thao-11-thong-tu-ban-hanh-quy-chuan-ky-thuat-quoc-gia-ve-an-toan-thuoc-no-ad1-moi-no-dung-cho-6465</d:t>
    </d:r>
  </si>
  <si>
    <t>Resolution 879, 28 May 2024</t>
  </si>
  <si>
    <t>This Resolution prohibits throughout the national territory the manufacture, import and sale, as well as the use in health services, of mercury and non-encapsulated amalgam alloy powder indicated for use in Dentistry.</t>
  </si>
  <si>
    <t>Dentistry (ICS code(s): 11.060)</t>
  </si>
  <si>
    <t>11.060 - Dentistry</t>
  </si>
  <si>
    <d:r xmlns:d="http://schemas.openxmlformats.org/spreadsheetml/2006/main">
      <d:rPr>
        <d:sz val="11"/>
        <d:rFont val="Calibri"/>
      </d:rPr>
      <d:t xml:space="preserve">https://members.wto.org/crnattachments/2024/TBT/BRA/24_03747_00_x.pdf
http://antigo.anvisa.gov.br/documents/10181/6729567/RDC_879_2024_.pdf/50fac004-2aba-41fc-a445-6f7dcf4b894a
</d:t>
    </d:r>
  </si>
  <si>
    <t>Updates to Marine Engineering Standards</t>
  </si>
  <si>
    <t>The Coast Guard is updating marine engineering standards that are incorporated by reference and eliminating outdated or unnecessarily prescriptive regulations in the Code of Federal Regulations. This regulatory action is consistent with the standards currently used by industry and supports the Coast Guard's maritime safety mission.This final rule is effective 10 September 2024. The incorporation by reference of certain material listed in this rule is approved by the Director of the Federal Register beginning 10 September 2024. The incorporation by reference of certain material listed in this rule was approved by the Director of the Federal Register as of 1 October 1990.Title 46 Code of Federal Regulations (CFR) Parts 5052535456575859616263, and 64This final rule and previous actions notified under the symbol G/TBT/N/USA/1790 are identified by Docket Number USCG-2020-0634. The Docket Folder is available at https://www.regulations.gov/docket/USCG-2020-0634/document and provides access to primary and supporting documents as well as comments received. Documents are also accessible from Regulations.gov by searching the Docket Number.</t>
  </si>
  <si>
    <t>Marine engineering</t>
  </si>
  <si>
    <t>03.120 - Quality; 03.120 - Quality; 47.020 - Shipbuilding and marine structures in general; 47.020 - Shipbuilding and marine structures in general</t>
  </si>
  <si>
    <t>Protection of human health or safety (TBT); Protection of animal or plant life or health (TBT); Protection of the environment (TBT); Quality requirements (TBT); Cost saving and productivity enhancement (TBT)</t>
  </si>
  <si>
    <d:r xmlns:d="http://schemas.openxmlformats.org/spreadsheetml/2006/main">
      <d:rPr>
        <d:sz val="11"/>
        <d:rFont val="Calibri"/>
      </d:rPr>
      <d:t xml:space="preserve">https://members.wto.org/crnattachments/2024/TBT/USA/final_measure/24_03751_00_e.pdf
89 Federal Register (FR) 50058
 Title 46 Code of Federal Regulations (CFR) Parts 50
 52
 53
 54
 56
 57
 58
 59
 61
 62
 63
 and 64:
https://www.govinfo.gov/content/pkg/FR-2024-06-12/html/2024-10341.htm
https://www.govinfo.gov/content/pkg/FR-2024-06-12/pdf/2024-10341.pdf
</d:t>
    </d:r>
  </si>
  <si>
    <t>Draft resolution 1260, 29 May 2024.</t>
  </si>
  <si>
    <t>This Draft Resolution contains provisions on criteria for petitioning for Company Operating Authorization (AFE), Special Operating Authorization (AE) for storage service providers of goods and products subject to health control and inspection in Bonded Warehouses, and Company Operating Authorization (AFE) for importers for the account and order of a third party or order of goods and products subject to health control and inspection and exemption from AFE</t>
  </si>
  <si>
    <d:r xmlns:d="http://schemas.openxmlformats.org/spreadsheetml/2006/main">
      <d:rPr>
        <d:sz val="11"/>
        <d:rFont val="Calibri"/>
      </d:rPr>
      <d:t xml:space="preserve">https://members.wto.org/crnattachments/2024/TBT/BRA/24_03746_00_x.pdf
Draft: http://antigo.anvisa.gov.br/documents/10181/6764059/%282%29CONSULTA+PUBLICA+N%C2%BA+1260+GGPAF.pdf/b0aff906-0698-49d2-be80-b089d419d544
</d:t>
    </d:r>
  </si>
  <si>
    <t>Trade Regulation Rule Relating to Power Output Claims for Amplifiers Utilized in Home Entertainment Products</t>
  </si>
  <si>
    <t>The Federal Trade Commission ("FTC" or “Commission”) issues final amendments to its Trade Regulation Rule Relating to Power Output Claims for Amplifiers Utilized in Home Entertainment Products ("Amplifier Rule" or “Rule”). The amendments require sellers making power-related claims to calculate power output using uniform testing methods to allow consumers to easily compare amplifier sound quality; prescribe disclosure language that improves differentiation between power output claims that comply with the Rule's testing methods and those that do not; and modernize as well as clarify Rule language considering the foregoing modifications. Additionally, the amendments formalize prior Commission guidance on applying the Rule to multichannel amplifiers.This Rule is effective on 12 August 2024.Title 16 Code of Federal Regulations (CFR) Part 432This final rule and previous actions notified under the symbol G/TBT/N/USA/1679 are identified by Docket Numbers FTC-2020-0087 and FTC-2022-0048. The Docket Folders are available at https://www.regulations.gov/docket/FTC-2020-0087/document and https://www.regulations.gov/docket/FTC-2022-0048/document and provide access to primary and supporting documents as well as comments received. Documents are also accessible from Regulations.gov by searching the Docket Numbers (individually).</t>
  </si>
  <si>
    <t>Amplifiers in home entertainment products</t>
  </si>
  <si>
    <t>33.160.10 - Amplifiers; 33.160.10 - Amplifiers; 97.200 - Equipment for entertainment; 97.200 - Equipment for entertainment</t>
  </si>
  <si>
    <t>Consumer information, labelling (TBT); Cost saving and productivity enhancement (TBT)</t>
  </si>
  <si>
    <d:r xmlns:d="http://schemas.openxmlformats.org/spreadsheetml/2006/main">
      <d:rPr>
        <d:sz val="11"/>
        <d:rFont val="Calibri"/>
      </d:rPr>
      <d:t xml:space="preserve">https://members.wto.org/crnattachments/2024/TBT/USA/final_measure/24_03750_00_e.pdf
89 Federal Register (FR) 49797
 Title 16 Code of Federal Regulations (CFR) Part 432:
https://www.govinfo.gov/content/pkg/FR-2024-06-12/html/2024-12744.htm
https://www.govinfo.gov/content/pkg/FR-2024-06-12/pdf/2024-12744.pdf
</d:t>
    </d:r>
  </si>
  <si>
    <t>Draft national technical regulation on safety explosion-proof soft starters with voltage up to 6 kV used in underground mine</t>
  </si>
  <si>
    <t>This draft technical regulation specifies requirements for the technical specifications, safety and management of explosion-proof soft starters with a voltage of up to 6 kV used in underground mines. This draft technical regulation applies to organizations and persons who manufacture, import, test, verify, and use explosion-proof soft starters with a voltage of up to 6 kV used in underground mine in the territory of Vietnam and other relevant organizations and persons.</t>
  </si>
  <si>
    <t>Electrical apparatus (HS 8535.30.90)</t>
  </si>
  <si>
    <t>853530 - Isolating switches and make-and-break switches, for a voltage &gt; 1.000 V</t>
  </si>
  <si>
    <d:r xmlns:d="http://schemas.openxmlformats.org/spreadsheetml/2006/main">
      <d:rPr>
        <d:sz val="11"/>
        <d:rFont val="Calibri"/>
      </d:rPr>
      <d:t xml:space="preserve">https://members.wto.org/crnattachments/2024/TBT/VNM/24_03787_00_x.pdf
https://chinhphu.vn/du-thao-vbqppl/du-thao-11-thong-tu-ban-hanh-quy-chuan-ky-thuat-quoc-gia-ve-an-toan-thuoc-no-ad1-moi-no-dung-cho-6465</d:t>
    </d:r>
  </si>
  <si>
    <t>Energy Conservation Program: Energy Conservation Standards for Refrigerators, Refrigerator-Freezers, and Freezers</t>
  </si>
  <si>
    <t xml:space="preserve">The U.S. Department of Energy ("DOE") published a direct final rule to establish new energy conservation standards for refrigerators, refrigerator-freezers, and freezers in the Federal Register on 17 January 2024 (and notified in G/TBT/N/USA/583/Rev.1/Add.1). DOE has determined that the comments received in response to the direct final rule do not provide a reasonable basis for withdrawing the direct final rule. Therefore, DOE provides this document confirming the effective and compliance dates of those standards. This document also corrects an error in the amended regulatory text as it appeared in the direct final rule published on 17 January 2024.The technical correction in this document is effective 13 June 2024.  The effective date of 16 May 2024, for the direct final rule published 17 January 2024 (89 FR 3026) is confirmed. Compliance with the standards established in the direct final rule will be required on either 31 January 2029, or 31 January 2030, depending on product class.Title 10 Code of Federal Regulations (CFR) Part 430_x000D_
This direct final rule; confirmation of effective and compliance dates; technical correction and certain previous actions notified under the symbol G/TBT/N/USA/583 are identified by Docket Number EERE-2017-BT-STD-0003. The Docket Folder is available on Regulations.gov at https://www.regulations.gov/docket/EERE-2017-BT-STD-0003/document and provides access to primary and supporting documents as well as comments received. Documents are also accessible from Regulations.gov by searching the Docket Number. </t>
  </si>
  <si>
    <t>Refrigerators, freezers and other refrigerating or freezing equipment, electric or other; heat pumps; parts thereof (excl. air conditioning machines of heading 8415) (HS code(s): 8418); Environmental protection (ICS code(s): 13.020); Energy efficiency. Energy conservation in general (ICS code(s): 27.015); Domestic refrigerating appliances (ICS code(s): 97.040.30); Shop fittings (ICS code(s): 97.130)</t>
  </si>
  <si>
    <t>841810 - Combined refrigerator-freezers, with separate external doors; 841829 - Household refrigerators, absorption-type; 8418 - Refrigerators, freezers and other refrigerating or freezing equipment, electric or other; heat pumps; parts thereof (excl. air conditioning machines of heading 8415); 841829 - Household refrigerators, absorption-type; 841810 - Combined refrigerator-freezers, with separate external doors; 8418 - Refrigerators, freezers and other refrigerating or freezing equipment, electric or other; heat pumps; parts thereof (excl. air conditioning machines of heading 8415)</t>
  </si>
  <si>
    <t>13.020 - Environmental protection; 97.040.30 - Domestic refrigerating appliances; 97.130 - Shop fittings; 97.130.20 - Commercial refrigerating appliances; 97.130.20 - Commercial refrigerating appliances; 13.020 - Environmental protection; 97.040.30 - Domestic refrigerating appliances; 97.130 - Shop fittings</t>
  </si>
  <si>
    <d:r xmlns:d="http://schemas.openxmlformats.org/spreadsheetml/2006/main">
      <d:rPr>
        <d:sz val="11"/>
        <d:rFont val="Calibri"/>
      </d:rPr>
      <d:t xml:space="preserve">https://members.wto.org/crnattachments/2024/TBT/USA/final_measure/24_03765_00_e.pdf
89 Federal Register (FR) 50205
 Title 10 Code of Federal Regulations (CFR) Part 430:
https://www.govinfo.gov/content/pkg/FR-2024-06-13/html/2024-12893.htm
https://www.govinfo.gov/content/pkg/FR-2024-06-13/pdf/2024-12893.pdf</d:t>
    </d:r>
  </si>
  <si>
    <t>Draft resolution 1259, 29 May 2024</t>
  </si>
  <si>
    <t>This Draft Resolution contains provisions on Good Storage Practices and Certification of Good Storage Practices for goods and products subject to health surveillance in Bonded Warehouses.</t>
  </si>
  <si>
    <d:r xmlns:d="http://schemas.openxmlformats.org/spreadsheetml/2006/main">
      <d:rPr>
        <d:sz val="11"/>
        <d:rFont val="Calibri"/>
      </d:rPr>
      <d:t xml:space="preserve">https://members.wto.org/crnattachments/2024/TBT/BRA/24_03745_00_x.pdf
The final text is available only in Portuguese and can be downloaded at: 
Draft: http://antigo.anvisa.gov.br/documents/10181/6764059/CONSULTA+PUBLICA+N%C2%BA+1259+GGPAF.pdf/13ecd252-727b-453e-b37e-2431e11b7f1e
</d:t>
    </d:r>
  </si>
  <si>
    <t xml:space="preserve">The draft Order is developed to improve and clarify certain provisions of the Procedure for Notifying (Submitting Information) on Cosmetic Products, approved by the Order of the Ministry of Health of Ukraine No.1247 of 18 December 2023, concerning the maintenance and accounting of the status of product placement on the market, CMR substances and nanomaterials, administration of the Electronic Notification (Submitting Information) System for Cosmetic Products._x000D_
The draft Order is developed in accordance with item 31 of the Technical Regulation on Cosmetic Products, approved by the Resolution of the Cabinet of Ministers of Ukraine No. 65 of 20 January 2021 (notified in documents G/TBT/N/UKR/145, G/TBT/N/UKR/145/Add.1 and G/TBT/N/UKR/145/Add.2) and in compliance with the provisions of Regulation (EC) No 1223/2009 of the European Parliament and of the Council of 30 November 2009 on cosmetic products.</t>
  </si>
  <si>
    <t>33 - ESSENTIAL OILS AND RESINOIDS; PERFUMERY, COSMETIC OR TOILET PREPARATIONS</t>
  </si>
  <si>
    <d:r xmlns:d="http://schemas.openxmlformats.org/spreadsheetml/2006/main">
      <d:rPr>
        <d:sz val="11"/>
        <d:rFont val="Calibri"/>
      </d:rPr>
      <d:t xml:space="preserve">https://members.wto.org/crnattachments/2024/TBT/UKR/24_03760_00_e.pdf
https://members.wto.org/crnattachments/2024/TBT/UKR/24_03760_01_e.pdf
https://members.wto.org/crnattachments/2024/TBT/UKR/24_03760_00_x.pdf
https://members.wto.org/crnattachments/2024/TBT/UKR/24_03760_01_x.pdf
https://moz.gov.ua/article/public-discussions/povidomlennja-pro-opriljudnennja-proektu-nakazu-ministerstva-ohoroni-zdorov%e2%80%99ja-ukraini-pro-zatverdzhennja-zmin-do-porjadku-notifikacii-nadannja-informacii-pro-kosmetichnu-produkciju</d:t>
    </d:r>
  </si>
  <si>
    <t>Anexo Técnico de Requisitos Sísmicos para Instalaciones Eléctricas de Alta Tensión.</t>
  </si>
  <si>
    <t>El objetivo del presente Anexo es definir las exigencias sísmicas mínimas de diseño de las instalaciones del Sistema de Transmisión en Corriente Alterna, a efectos de que éstas garanticen el cumplimiento de los objetivos de seguridad y calidad de servicio. Las disposiciones establecidas en el presente Anexo serán aplicables a las instalaciones de todos los sistemas de transmisión en Corriente Alterna, es decir, del STN, STZ, STD, y STPD. Las disposiciones establecidas en el presente Anexo serán aplicables a los Equipos Eléctricos, las estructuras, las fundaciones y las obras civiles correspondientes a las líneas y subestaciones eléctricas que conforman las instalaciones eléctricas del Sistema de Transmisión en Corriente Alterna, incluyendo a las subestaciones eléctricas elevadoras de las centrales de generación que se conectan al Sistema Eléctrico Nacional.</t>
  </si>
  <si>
    <t>Instalaciones Eléctricas de Alta Tensión.</t>
  </si>
  <si>
    <d:r xmlns:d="http://schemas.openxmlformats.org/spreadsheetml/2006/main">
      <d:rPr>
        <d:sz val="11"/>
        <d:rFont val="Calibri"/>
      </d:rPr>
      <d:t xml:space="preserve">https://members.wto.org/crnattachments/2024/TBT/CHL/24_03770_00_s.pdf
https://www.cne.cl/wp-content/uploads/2024/06/Consulta-Publica-ATRS-1.zip
https://www.cne.cl/normativas/electrica/consulta-publica/</d:t>
    </d:r>
  </si>
  <si>
    <t>A draft of safety verification criteria of portable ethanol devices (1 criteria, Korean)</t>
  </si>
  <si>
    <t>Establishing safety requirements for portable ethanol devices</t>
  </si>
  <si>
    <t>Portable ethanol devices</t>
  </si>
  <si>
    <d:r xmlns:d="http://schemas.openxmlformats.org/spreadsheetml/2006/main">
      <d:rPr>
        <d:sz val="11"/>
        <d:rFont val="Calibri"/>
      </d:rPr>
      <d:t xml:space="preserve">https://members.wto.org/crnattachments/2024/TBT/KOR/24_03774_00_x.pdf
https://members.wto.org/crnattachments/2024/TBT/KOR/24_03774_01_x.pdf
https://members.wto.org/crnattachments/2024/TBT/KOR/24_03774_02_x.pdf</d:t>
    </d:r>
  </si>
  <si>
    <t>Proyecto de Decreto Supremo que regula lo dispuesto en el artículo 9 de la Ley N° 29698, Ley que declara de interés nacional y preferente atención el tratamiento de personas que padecen enfermedades raras o huérfanas, modificada por la Ley N° 31738</t>
  </si>
  <si>
    <t>El presente Decreto Supremo tiene por objeto establecer las disposiciones referidas al registro sanitario de productos farmacéuticos para el diagnóstico y/o tratamiento de enfermedades raras o huérfanas y al registro sanitario de productos farmacéuticos para tratamientos oncológicos, en el marco de lo dispuesto en el artículo 9 de la Ley N° 29698, Ley que declara de interés nacional y preferente atención el tratamiento de personas que padecen enfermedades raras o huérfanas, incorporado por la Ley N° 31738</t>
  </si>
  <si>
    <t>Productos FarmacéuticosClasificados en el Capítulo 30 del Sistema Armonizado o el Arancel de Aduanas</t>
  </si>
  <si>
    <d:r xmlns:d="http://schemas.openxmlformats.org/spreadsheetml/2006/main">
      <d:rPr>
        <d:sz val="11"/>
        <d:rFont val="Calibri"/>
      </d:rPr>
      <d:t xml:space="preserve">https://members.wto.org/crnattachments/2024/TBT/PER/24_03741_00_s.pdf
https://www.gob.pe/institucion/minsa/normas-legales/5617998-373-2024-minsa
http://extranet.comunidadandina.org/sirt/public/buscapalavra.aspx
http://consultasenlinea.mincetur.gob.pe/notificaciones/Publico/FrmBuscador.aspx
</d:t>
    </d:r>
  </si>
  <si>
    <t>DUS 2693:2024, Standard Test Method for Analysis of Barium, Calcium, Magnesium, and Zinc in Unused Lubricating Oils by Atomic Absorption Spectrometry, First Edition</t>
  </si>
  <si>
    <t>This Draft Uganda Standard contains test method applicable for the determination of mass percent barium from 0.005 % to 1.0 %, calcium and magnesium from 0.002 % to 0.3 %, and zinc from 0.002 % to 0.2 % in lubricating oils. Higher concentrations can be determined by appropriate dilution. Lower concentrations of metals such as barium, calcium, magnesium, and zinc at about 10 ppm level can also be determined by this test method. Use of this test method for the determination at these lower concentrations should be by agreement between the buyer and the seller. Lubricating oils that contain viscosity index improvers may give low results when calibrations are performed using standards that do not contain viscosity index improvers.</t>
  </si>
  <si>
    <t>MINERAL FUELS, MINERAL OILS AND PRODUCTS OF THEIR DISTILLATION; BITUMINOUS SUBSTANCES; MINERAL WAXES (HS code(s): 27); Petroleum products in general (ICS code(s): 75.080)</t>
  </si>
  <si>
    <t>75.080 - Petroleum products in general</t>
  </si>
  <si>
    <t>Proposed Maximum Residue Limit: Cyflumetofen (PMRL2024-10)</t>
  </si>
  <si>
    <t>The objective of the notified document PMRL2024-10 is to consult on the listed maximum residue limits (MRLs) for cyflumetofen that have been proposed by Health Canada’s Pest Management Regulatory Agency (PMRA).MRL (ppm)1 Raw Agricultural Commodity (RAC) and/or Processed Commodity2.0             Bell peppers; non-bell peppers0.7             Tomatoes20.3             Cucurbit vegetables (crop group 9)1 ppm = parts per million2 This MRL is proposed to replace the currently established 0.4 ppm for tomatoes.The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</si>
  <si>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cyflumetofen in or on various commodities (ICS codes: 65.020, 65.100, 67.040, 67.080)</t>
  </si>
  <si>
    <t>DUS 1731:2024, Standard Test Method for Corrosiveness to Copper from Petroleum Products by Copper Strip Test, Second Edition</t>
  </si>
  <si>
    <t>This Draft Uganda Standard covers the determination of the corrosiveness to copper of aviation gasoline, aviation turbine fuel, automotive gasoline, cleaners (Stoddard) solvent, kerosine, diesel fuel, distillate fuel oil, lubricating oil, and natural gasoline or other hydrocarbons having a vapor pressure no greater than 124 kPa (18 psi) at 37.8 °C. (Warning—Some products, particularly natural gasoline, may have a much higher vapor pressure than would normally be characteristic of automotive or aviation gasolines. For this reason, exercise extreme caution to ensure that the pressure vessel used in this test method and containing natural gasoline or other products of high vapor pressure is not placed in the 100 °C (212 °F) bath. Samples having vapor pressures in excess of 124 kPa (18 psi) may develop sufficient pressures at 100 °C to rupture the pressure vessel.</t>
  </si>
  <si>
    <t>DUS 1732:2024, Standard Practice for Manual Sampling of Petroleum and Petroleum Products, Second Edition.</t>
  </si>
  <si>
    <t>This Draft Uganda Standard covers procedures and equipment for manually obtaining samples of liquid petroleum and petroleum products, crude oils, and intermediate products from the sample point into the primary container are described. Procedures are also included for the sampling of free water and other heavy components associated with petroleum and petroleum products. This Draft Standards also addresses the sampling of semi-liquid or solid-state petroleum products. This draft standard provides additional specific information about sample container selection, preparation, and sample handling. This draft standard covers sampling of electrical insulating oils and hydraulic fluids. The Draft Standard may also be applicable in sampling most non-corrosive liquid industrial chemicals provided that all safety precautions specific to these chemicals are followed. The procedures described in this draft standard are also applicable to sampling liquefied petroleum gases and chemicals. </t>
  </si>
  <si>
    <t>Cross Recessed Screws (Quality Control) Order, 202</t>
  </si>
  <si>
    <t>Cross Recessed Screws (Quality Control) Order, 2023Cross Recessed Screws are threaded fasteners with a machine screw thread that will cut its own thread as it is driven into an unthreaded pilot hole. Cross Recessed Thread Cutting Screws have a head with a crossed recessed drive that can be driven with a Phillips screw driver.</t>
  </si>
  <si>
    <t>Cross Recessed Screws</t>
  </si>
  <si>
    <t>21.060.10 - Bolts, screws, studs</t>
  </si>
  <si>
    <d:r xmlns:d="http://schemas.openxmlformats.org/spreadsheetml/2006/main">
      <d:rPr>
        <d:sz val="11"/>
        <d:rFont val="Calibri"/>
      </d:rPr>
      <d:t xml:space="preserve">https://members.wto.org/crnattachments/2024/TBT/IND/24_03739_00_e.pdf</d:t>
    </d:r>
  </si>
  <si>
    <t>DUS 1730:2024, Standard Test Method for Pour Point of Petroleum Products, Second Edition.</t>
  </si>
  <si>
    <t>This Draft Uganda Standard covers and is intended for use on any petroleum product.3 A procedure suitable for black specimens, cylinder stock, and nondistillate fuel oil is described in clause 8.8.</t>
  </si>
  <si>
    <t>Final Rule: Control of Communicable Diseases; Foreign Quarantine: Importation of Dogs and Cats. Document Citation: 89 FR 41726</t>
  </si>
  <si>
    <t>The Centers for Disease Control and Prevention (CDC), in the Department of Health and Human Services (HHS), issues this final rule to provide clarity and safeguards that address the public health risk of dog-maintained rabies virus variant (DMRVV) associated with the importation of dogs into the United States. This final rule addresses the importation of cats as part of overall changes to the regulations affecting both dogs and cats, but the final rule does not require that imported cats be accompanied by proof of rabies vaccination and does not substantively change how cats are imported into the United States.</t>
  </si>
  <si>
    <t>Importation of dogs</t>
  </si>
  <si>
    <t>0106 - Live animals (excl. horses, asses, mules, hinnies, bovine animals, swine, sheep, goats, poultry, fish, crustaceans, molluscs and other aquatic invertebrates, and microorganic cultures etc.)</t>
  </si>
  <si>
    <d:r xmlns:d="http://schemas.openxmlformats.org/spreadsheetml/2006/main">
      <d:rPr>
        <d:sz val="11"/>
        <d:rFont val="Calibri"/>
      </d:rPr>
      <d:t xml:space="preserve">https://members.wto.org/crnattachments/2024/SPS/USA/24_03719_00_e.pdf
https://www.federalregister.gov/documents/2024/05/13/2024-09676/control-of-communicable-diseases-foreign-quarantine-importation-of-dogs-and-cats</d:t>
    </d:r>
  </si>
  <si>
    <t>DUS 2058:2024, Standard Test Method for Sulfur in Petroleum Products by Wavelength Dispersive X-Ray Fluorescence Spectrometry, Second Edition</t>
  </si>
  <si>
    <t>This Draft Uganda Standard covers the determination of total sulfur in petroleum and petroleum products that are single-phase and either liquid at ambient conditions, liquefiable with moderate heat, or soluble in hydrocarbon solvents. These materials can include diesel fuel, jet fuel, kerosene, other distillate oil, naphtha, residual oil, lubricating base oil, hydraulic oil, crude oil, unleaded gasoline, gasoline-ethanol blends, and biodiesel.</t>
  </si>
  <si>
    <t>Petroleum oils and oils obtained from bituminous minerals, crude. (HS code(s): 2709); Petroleum products in general (ICS code(s): 75.080)</t>
  </si>
  <si>
    <t>2709 - Petroleum oils and oils obtained from bituminous minerals, crude.</t>
  </si>
  <si>
    <t>Electrical Equipment (Quality Control) Order, 2020</t>
  </si>
  <si>
    <t>India had notified the " Electrical Equipment (Quality Control) Order, 2020" under the Bureau of Indian Standards Act, 2016 to the WTO vide document G/TBT/N/IND/156 dated 29th July 2020 and also infromed the notification of the " Electrical Equipment (Quality Control) Amendment Order, 2023" to the WTO vide document G/TBT/N/IND/156/Add.1 dated 7th June 2023.In continuation of the said WTO notification, India would like to inform the members that the Electrical Equipment (Quality Control) Second Amendment Order (EEQCSAO), 2024 is amendment to the pervious notification i.e. Electrical Equipment (Quality Control) Amendment Order (EEQCAO), 2023 published in the Gazette of India vide notification dated 9th May 2023. The original order i.e. Electrical Equipment (Quality Control) Order, 2020 for Low Voltage SwitchGears and ControlGears was published in Gazette of India vide notification dated 11th November 2020. In the EEQCSAO, 2024 additional timelines have been provided to manufacturers linked to the product ratings &amp; specified conditions. Also revised the Indian standards with latest version(s). The notification is available in the Public domain and can be accessed at URL: https://heavyindustries.gov.in/sites/default/files/2024-05/electrical_equipment_quality_control_second_amendment_order_2024_0.pdfNational enquiry point or address: International Relations &amp; Technical Information Services DepartmentBureau of Indian Standards, Manak Bhavan, 9 Bahadur Shah Marg, New Delhi-110002 – India;  Telephones: + (91 11) 232 30 342 / 232 31 082; E-mail id: enquirypoint@bis.gov.inContact of Ministry of Heavy Industries :  Shri Udai Bhan Singh, Under Secretary (HEI division),  Ministry of Heavy Industries,  Udyog Bhawan, New Delhi-110011; Phone No.: +91-11-23063984; E-mail: udai.singh68@nic.in;Website: https://heavyindustries.gov.in/</t>
  </si>
  <si>
    <t>Electrical Equipment (Low Voltage Switchgears and Control Gears) (ITC HS 8536, 8537): Indian Standards: i) IS/IEC 60947 : Part 2 : 2016; ii) IS/IEC 60947 : Part 3 : 2012; iii) IS/IEC 60947 : Part 4 : Sec 1 : 2012; iv) IS/IEC 60947 : Part 4 : Sec 2 : 2011; v) IS/IEC 60947 : Part 4 : Sec 3 : 2014; vi) IS/IEC 60947 : Part 5 : Sec 1 : 2009; vii) IS/IEC 60947 : Part 5 : Sec 2 : 2007; viii) IS/IEC 60947 : Part 5 : Sec 5 : 2016</t>
  </si>
  <si>
    <t>8536 - Electrical apparatus for switching or protecting electrical circuits, or for making connections to or in electrical circuits, e.g., switches, relays, fuses, surge suppressors, plugs, sockets, lamp holders and junction boxes, for a voltage &lt;= 1.000 V (excl. control desks, cabinets, panels etc. of heading 8537); 8537 - Boards, panels, consoles, desks, cabinets and other bases, equipped with two or more apparatus of heading 8535 or 8536, for electric control or the distribution of electricity, incl. those incorporating instruments or apparatus of chapter 90, and numerical control apparatus (excl. switching apparatus for line telephony or line telegraphy); 8537 - Boards, panels, consoles, desks, cabinets and other bases, equipped with two or more apparatus of heading 8535 or 8536, for electric control or the distribution of electricity, incl. those incorporating instruments or apparatus of chapter 90, and numerical control apparatus (excl. switching apparatus for line telephony or line telegraphy); 8536 - Electrical apparatus for switching or protecting electrical circuits, or for making connections to or in electrical circuits, e.g., switches, relays, fuses, surge suppressors, plugs, sockets, lamp holders and junction boxes, for a voltage &lt;= 1.000 V (excl. control desks, cabinets, panels etc. of heading 8537)</t>
  </si>
  <si>
    <d:r xmlns:d="http://schemas.openxmlformats.org/spreadsheetml/2006/main">
      <d:rPr>
        <d:sz val="11"/>
        <d:rFont val="Calibri"/>
      </d:rPr>
      <d:t xml:space="preserve">https://members.wto.org/crnattachments/2024/TBT/IND/modification/24_03740_00_e.pdf</d:t>
    </d:r>
  </si>
  <si>
    <t>DUS 4373:2024, Standard Test Method for Kinematic Viscosity of Transparent and Opaque Liquids (and Calculation of Dynamic Viscosity), First Edition</t>
  </si>
  <si>
    <t>This Draft Uganda Standard specifies a procedure for the determination of the kinematic viscosity, ν, of liquid petroleum products, both transparent and opaque, by measuring the time for a volume of liquid to flow under gravity through a calibrated glass capillary viscometer. The dynamic viscosity, η, can be obtained by multiplying the kinematic viscosity, ν, by the density, ρ, of the liquid. The result obtained from this test method is dependent upon the behavior of the sample and is intended for application to liquids for which primarily the shear stress and shear rates are proportional (Newtonian flow behavior). If, however, the viscosity varies significantly with the rate of shear, different results may be obtained from viscometers of different capillary diameters. The procedure and precision values for residual fuel oils, which under some conditions exhibit non-Newtonian behavior, have been included.</t>
  </si>
  <si>
    <t>Veterinary Conditions for the Importation of Dogs/Cats for Countries/Regions under Schedule I; Veterinary Conditions for the Importation of Dogs/Cats for Countries/Regions under Schedule II; Veterinary Conditions for the Importation of Dogs/Cats for Countries/Regions under Schedule III; Veterinary Conditions for the Importation of Assistance Dogs for Countries/Regions under Schedule I to III</t>
  </si>
  <si>
    <t>The National Parks Board/Animal and Veterinary Service (NParks/AVS) had earlier reviewed the veterinary conditions for the importation of dogs/cats, and notified the WTO of the draft revisions via G/SPS/N/SGP/83. Following feedback received during the sixty days comment period, the following trade-facilitating improvements have been added to the draft revisions: Retained the current 7-day validity period of the pre-export veterinary health certificate;Amended the requirement for pre-export examination of the dog/cat to be within 7 days of export, instead of only the day prior to or on the day of export;Revised the required waiting time between rabies serology sampling and the date of export for Schedule III countries from 180 days to not less than 90 days, to align with WOAH Terrestrial Animal Health Code, Chapter 8.15 Infection with rabies virus.The finalized Veterinary Conditions for the Importation of Dogs/Cats for Countries/Regions under Schedule I to III will be adopted on 1 July 2024. There will be a 6-month adaptation period from 1 July 2024 to 31 December 2024 to allow the industry more time to adjust to the revised conditions – during this period, imports based on the previous conditions will still be allowed.</t>
  </si>
  <si>
    <t>Dogs and cats (HS code: 01061900)</t>
  </si>
  <si>
    <t>Ministerial Decree No.141/2024 which cancels the Egyptian Standard ES 273-4/2005 </t>
  </si>
  <si>
    <t xml:space="preserve">Products covered: (ICS 71.060) Inorganic chemicals This addendum concerns the notification of the Ministerial Decree No. 141/2024 (2 pages, in Arabic) which cancels the Egyptian Standard ES 273-4 /2005 "sodium chloride for chemical analysis - part: 4 inspection and test methods "(22 pages, in English). It should be noted that this standard was replaced by ES 273-3 for " sodium chloride- part: 3 -analytical reagent- requirements and test methods "which was formerly notified in G/TBT/N/EGY/3/Add.77 dated 30 May 2024.Worth mentioning is that the Ministerial Decree No. 423/2005 (25 pages, in Arabic) which was formerly notified in G/TBT/N/EGY/3 dated 14 December 2005, mandated among others the earlier version of this standard.Producers and importers are kept informed of any amendments in the Egyptian standard through the publication of administrative orders in the official gazette.Date of adoption: 22 April 2024Date of entry into force: 22 May 2024Agency or authority designated to handle comments and text available from:National Enquiry Point Egyptian Organization for Standardization and Quality _x000D_
16 Tadreeb El-Modarrebeen St., Ameriya, Cairo - Egypt _x000D_
E-mail: eos@idsc.net.eg/eos.tbt@eos.org.eg_x000D_
Website: http://www.eos.org.eg_x000D_
Tel:  + (202) 22845528 _x000D_
Fax: + (202) 22845504</t>
  </si>
  <si>
    <t>71.060 - Inorganic chemicals; 91.100 - Construction materials</t>
  </si>
  <si>
    <t>Ministerial Decree No.141/2024 which cancels the Egyptian Standard ES 4761/2005 </t>
  </si>
  <si>
    <t xml:space="preserve">Products covered: Dental Equipment (ICS code(s): 11.060.20)This addendum concerns the notification of the Ministerial Decree No. 141/2024 (2 pages, in Arabic) which cancels the Egyptian Standard ES 4761/2005 "Dental units "(37 pages, in English). It should be noted that this standard was replaced by ES 4761-1 for " dentistry - stationary dental units and dental patient chairs- part: 1 - general requirements " which was formerly notified in G/TBT/N/EGY/3/Add.75 dated 29 May 2024 and ES 4761-2 for" dentistry - stationary dental units and dental patient chairs- part: 2 - air, water, suction and wastewater systems " which was formerly notified in G/TBT/N/EGY/3/Add.76 dated 29 May 2024.Worth mentioning is that the Ministerial Decree No. 423/2005 (25 pages, in Arabic) which was formerly notified in G/TBT/N/EGY/3 dated 14 December 2005, mandated among others the earlier version of this standard.Producers and importers are kept informed of any amendments in the Egyptian standard through the publication of administrative orders in the official gazette.Date of adoption: 22 April 2024Date of entry into force: 22 May 2024Agency or authority designated to handle comments and text available from:National Enquiry Point Egyptian Organization for Standardization and Quality _x000D_
16 Tadreeb El-Modarrebeen St., Ameriya, Cairo - Egypt _x000D_
E-mail: eos@idsc.net.eg/eos.tbt@eos.org.eg_x000D_
Website: http://www.eos.org.eg_x000D_
Tel:  + (202) 22845528 _x000D_
Fax: + (202) 22845504</t>
  </si>
  <si>
    <t>11.060.20 - Dental equipment; 91.100 - Construction materials</t>
  </si>
  <si>
    <t>New GB MRLs for trifloxystrobin amending the GB MRL Statutory Register </t>
  </si>
  <si>
    <t>Trifloxystrobin is an approved active substance in Great Britain. An application was received by the Health and Safety Executive to set a new MRL for sugar beet roots. Following assessment, new MRL have been introduced.  The Evaluation Report/Reasoned Opinion supporting the new MRL is available at the following link. A complete list of the new MRL is available within this document, see page 5: ER-RO for trifloxystrobin in or on sugar beet roots (hse.gov.uk)The residue levels arising in food and feed from the notified uses result in consumer exposures below the toxicological reference values and therefore harmful effects on human health are not expected. As the residue levels exceed the current MRL in force, a new MRL is being adopted.  </t>
  </si>
  <si>
    <t>Products (and associated GB commodity codes*): Sugar beet roots (0900010) * For reference, the full list of GB commodity codes is set out in Part 1 of the GB pesticides Maximum Residue Level Statutory Register – see link</t>
  </si>
  <si>
    <d:r xmlns:d="http://schemas.openxmlformats.org/spreadsheetml/2006/main">
      <d:rPr>
        <d:sz val="11"/>
        <d:rFont val="Calibri"/>
      </d:rPr>
      <d:t xml:space="preserve">https://members.wto.org/crnattachments/2024/SPS/GBR/24_03716_00_e.pdf</d:t>
    </d:r>
  </si>
  <si>
    <t xml:space="preserve">Significant New Use Rules on Certain Chemical Substances (22-
4.5e)</t>
  </si>
  <si>
    <t>Proposed rule - EPA is proposing significant new use rules (SNURs) under the Toxic Substances Control Act (TSCA) for chemical substances that were the subject of premanufacture notices (PMNs) and are also subject to a TSCA Order. The SNURs require persons who intend to manufacture (defined by statute to include import) or process any of these chemical substances for an activity that is proposed as a significant new use by this rule to notify EPA at least 90 days before commencing that activity. The required notification initiates EPA's evaluation of the conditions of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t>
  </si>
  <si>
    <d:r xmlns:d="http://schemas.openxmlformats.org/spreadsheetml/2006/main">
      <d:rPr>
        <d:sz val="11"/>
        <d:rFont val="Calibri"/>
      </d:rPr>
      <d:t xml:space="preserve">https://members.wto.org/crnattachments/2024/TBT/USA/24_03725_00_e.pdf</d:t>
    </d:r>
  </si>
  <si>
    <t>New GB MRLs for bentazone amending the GB MRL Statutory Register </t>
  </si>
  <si>
    <t>Bentazone is an approved active substance in Great Britain. An application was received by the Health and Safety Executive to set new MRLs for soyabean. Following assessment, new MRLs have been introduced.  The Evaluation Report/Reasoned Opinion supporting the new MRLs is available at the following link. A complete list of the new or raised MRLs is available within this document, see page 5-7: The evaluation of new MRLs for bentazone in or on various commodities (hse.gov.uk)The residue levels arising in food and feed from the notified uses result in consumer exposures below the toxicological reference values and therefore harmful effects on human health are not expected. As the residue levels exceed the current MRLs in force, new MRLs are being adopted.  </t>
  </si>
  <si>
    <t>Products (and associated GB commodity codes*): Soyabean (0401050); Liver – bovine (1012030); Liver – sheep (1013030); Liver – goat (1014030); Liver – equine (1015030); Liver - other farmed terrestrial animals (1017030); Cattle – milk (1020010); Sheep – milk (1020020); Goat – milk (1020030); Horse – milk (1020040); Other – Milk and cream (1020990)* For reference, the full list of GB commodity codes is set out in Part 1 of the GB pesticides Maximum Residue Level Statutory Register – see link</t>
  </si>
  <si>
    <d:r xmlns:d="http://schemas.openxmlformats.org/spreadsheetml/2006/main">
      <d:rPr>
        <d:sz val="11"/>
        <d:rFont val="Calibri"/>
      </d:rPr>
      <d:t xml:space="preserve">https://members.wto.org/crnattachments/2024/SPS/GBR/24_03714_00_e.pdf</d:t>
    </d:r>
  </si>
  <si>
    <t>DUS 2409: 2023, Standard test method for iron in trace quantities using the 1,10 phenanthroline method, Second Edition.</t>
  </si>
  <si>
    <t>MINERAL FUELS, MINERAL OILS AND PRODUCTS OF THEIR DISTILLATION; BITUMINOUS SUBSTANCES; MINERAL WAXES (HS code(s): 27); Anti-freezing preparations and prepared de-icing fluids (excl. prepared additives for mineral oils or other liquids used for the same purposes as mineral oils) (HS code(s): 3820); Petroleum products in general (ICS code(s): 75.080)</t>
  </si>
  <si>
    <t>27 - MINERAL FUELS, MINERAL OILS AND PRODUCTS OF THEIR DISTILLATION; BITUMINOUS SUBSTANCES; MINERAL WAXES; 3820 - Anti-freezing preparations and prepared de-icing fluids (excl. prepared additives for mineral oils or other liquids used for the same purposes as mineral oils)</t>
  </si>
  <si>
    <t>Commission Implementing Regulation (EU) 2024/1662 of 11 June 2024 amending Implementing Regulation (EU) 2019/1793 on the temporary increase of official controls and emergency measures governing the entry into the Union of certain goods from certain third countries implementing Regulations (EU) 2017/625 and (EC) No 178/2002 of the European Parliament and of the Council (Text with EEA relevance)</t>
  </si>
  <si>
    <t>Regulation (EU) 2019/1793 lays down rules concerning the temporary increase of official controls upon entry into the Union on certain food and feed of non-animal origin from certain third countries (in Annex I); special import conditions for certain food and feed from certain third countries due to the contamination risk by mycotoxins, including aflatoxins, pesticide residues, pentachlorophenol and dioxins and microbiological contamination (in Annex II - increased official border controls and official certificate accompanied by the results of sampling and analysis in the third country). This Implementing Regulation amends Annexes I and II to Implementing Regulation (EU) 2019/1793 by introducing the following changes:Inclusion in Annex I of eggplants (Solanum aethiopicum) from Burkina Faso due to risk of contamination by pesticide residues;Delisting from Annex I (and thus, from the Regulation) of Brazil nuts in shell and mixtures of Brazil nuts or dried fruits containing Brazil nuts in Shell from Brazil, groundnuts and products produced from groundnuts from Brazil, groundnuts and products produced from groundnuts from The Gambia, locust beans (carob), locust beans seeds, not decorticated, crushed or ground and mucilages and thickeners, whether or not modified, derived from locust beans or locust beans seeds from India and guar gum from India, instant noodles containing spices/seasonings or sauces from South Korea, peppers of genus Capsicum (other than sweet) from Pakistan, groundnuts and products produced from groundnuts from Sudan, locust beans (carob), locust beans seeds, not decorticated, crushed or ground and mucilages and thickeners, whether or not modified, derived from locust beans or locust beans seeds from Türkiye and instant noodles containing spices/seasonings or sauces from Viet Nam;Decrease in the frequency of identity and physical checks laid down in Annex I for hazelnuts and products produced from hazelnuts from Georgia (aflatoxins – 20%), spice mixes from Pakistan (aflatoxins – 30%) and grapefruits from Türkiye pesticide residues – 20%);Increase in the frequency of identity and physical checks laid down in Annex I for betel leaves (Piper betle L.) from India (Salmonella – 50%) and drumsticks (Moringa oleifera) from India (pesticide residues – 30%);Removal from Annex I and inclusion in Annex II of Gotukola (Centella asiatica) from Sri Lanka (pesticide residues – 50%) and peppers of the genus Capsicum (other than sweet) from Vietnam (pesticide residues – 50%);Removal from Annex II and inclusion in Annex I of yearlong beans from Dominican Republic (pesticide residues – 30%), groundnuts and products produced from groundnuts from Ghana (aflatoxins – 50%), mixtures of food additives containing locust bean gum or guar gum, vanilla and cloves (whole fruit, cloves and stems) from India (ethylene oxide – 20%), mixtures of food additives containing locust bean gum from Malaysia (ethylene oxide – 30%) and mixtures of food additives containing locyst bean gum from Türkiye (ethylene oxide – 30%);Increase in the frequency of identity and physical checks laid down in Annex II for nutmeg (Myristica fragrans) from Indonesia (aflatoxins – 50%), nutmeg, mace and cardamon from India (ethylene oxide – 30%), sesamum seeds from Uganda (Salmonella – 30%) and pitahaya (dragon fruit) from Vietnam (pesticide residues – 30%);Decrease in the frequency of identity and physical checks laid down in Annex II for pepper of the genus Piper, dried or crushed or ground fruit of the Capsicum or of the genus Pimenta and ginger, saffron, turmeric (curcuma), thyme, bay leaves, curry and other spices from Ethiopia (aflatoxins – 30%), dried figs and products produced from dried figs from Türkiye (aflatoxins – 20%), pistachios and products produced from pistachios from Türkiye (aflatoxins – 30%) and pistachios and derived products originating in the United States and dispatched to the Union from Türkiye (aflatoxins – 30%).</t>
  </si>
  <si>
    <t>Contaminants; Human health; Food safety; Toxins; Aflatoxins; Mycotoxins; Dioxins</t>
  </si>
  <si>
    <d:r xmlns:d="http://schemas.openxmlformats.org/spreadsheetml/2006/main">
      <d:rPr>
        <d:sz val="11"/>
        <d:rFont val="Calibri"/>
      </d:rPr>
      <d:t xml:space="preserve">https://members.wto.org/crnattachments/2024/SPS/EEC/24_03737_00_e.pdf
https://members.wto.org/crnattachments/2024/SPS/EEC/24_03737_00_f.pdf
https://members.wto.org/crnattachments/2024/SPS/EEC/24_03737_00_s.pdf</d:t>
    </d:r>
  </si>
  <si>
    <t>Slovenia</t>
  </si>
  <si>
    <t>Rules on the reporting of tobacco products and related products and for regulation of e-cigarette flavours</t>
  </si>
  <si>
    <t>The draft Rules on the Reporting of Tobacco and Related Products and for regulation of e-cigarette flavours sets the same amounts of fees for novel tobacco products, herbal products for smoking and heated herbal products as set for conventional tobacco products in the Rules on the Reporting of Tobacco and Related Products (Official Gazette of the Republic of Slovenia, No. 9/18).</t>
  </si>
  <si>
    <t>Tobacco products and related products and for regulation of e-cigarette flavours</t>
  </si>
  <si>
    <d:r xmlns:d="http://schemas.openxmlformats.org/spreadsheetml/2006/main">
      <d:rPr>
        <d:sz val="11"/>
        <d:rFont val="Calibri"/>
      </d:rPr>
      <d:t xml:space="preserve">https://technical-regulation-information-system.ec.europa.eu/en/notification/25902
</d:t>
    </d:r>
  </si>
  <si>
    <t>Established Maximum Residue Limits: Sulfoxaflor</t>
  </si>
  <si>
    <t>The proposed maximum residue limit (PMRL) document for sulfoxaflor notified in G/SPS/N/CAN/1405 (dated 28 July 2021) was adopted 7 June 2024. The proposed MRLs were established via entry into the Maximum Residue Limits Database and are provided directly below: MRL (ppm)1 Raw Agricultural Commodity (RAC) and/or Processed Commodity2.0              Bushberries (crop subgroup 13-07B, except gooseberries)2,31.5              Caneberries (crop subgroup 13-07A)0.7              Globe artichokes0.08            Quinoa0.01            Asparagus1 ppm = parts per million2 Gooseberries are excluded from this MRL action as a 2.0 ppm MRL is already established for this commodity.3 The MRL replaces the currently established 0.7 ppm MRL for lingonberries and lowbush blueberries.The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website.MRLs established in Canada may be found using Health Canada’s Maximum Residue Limit Databasehttps://pest-control.canada.ca/pesticide-registry/en/mrl-search.html) on the Maximum residue limits, human health, and food safety webpage (https://www.canada.ca/en/health-canada/services/consumer-product-safety/pesticides-pest-management/public/protecting-your-health-environment/pesticides-food/maximum-residue-limits-pesticides.html). The database allows users to search for pesticides or for food commodities.</t>
  </si>
  <si>
    <t>Pesticide sulfoxaflor in or on various commodities (ICS Codes: 65.020, 65.100, 67.040, 67.060, 67.080)</t>
  </si>
  <si>
    <t>65.020 - Farming and forestry; 65.020 - Farming and forestry; 65.100 - Pesticides and other agrochemicals; 65.100 - Pesticides and other agrochemicals; 67.040 - Food products in general; 67.040 - Food products in general; 67.060 - Cereals, pulses and derived products; 67.060 - Cereals, pulses and derived products; 67.080 - Fruits. Vegetables; 67.080 - Fruits. Vegetables</t>
  </si>
  <si>
    <t>Maximum residue limits (MRLs); Pesticides; Food safety; Human health; Adoption/publication/entry into force of reg.; Maximum residue limits (MRLs); Pesticides; Human health; Food safety</t>
  </si>
  <si>
    <t>DUS 2694:2024, Standard Test Method for Base Number of Petroleum Products by Potentiometric Perchloric Acid Titration, First Edition.</t>
  </si>
  <si>
    <t>This Draft Uganda Standard covers the determination of basic constituents in petroleum products by titration with perchloric acid in glacial acetic acid. Procedures A and B use different titration solvent volumes and sample weights. The constituents that may be considered to have basic characteristics include organic and inorganic bases, amino compounds, salts of weak acids (soaps), basic salts of polyacidic bases, and salts of heavy metals. This test method can be used to determine base number &gt;300 mg KOH/g.</t>
  </si>
  <si>
    <t>Proposals to Amend the New Zealand (Maximum Residue Levels for Agricultural Compounds) Food Notice</t>
  </si>
  <si>
    <t>The document contains technical details on proposals to amend the current Notice issued under the Food Act 2014 that lists the maximum residue levels (MRLs) for agricultural compounds in New Zealand.MPI proposes the following amendments to the Notice:New MRL entries for the following compounds and commodities:Penflufen: 0.01(*) mg/kg in potatoes;The amendment of existing MRL entries for the following compounds and commodities:Fluopyram: 0.01(*)mg/kg in kiwifruit;Glufosinate-ammonium: correction of CAS number;Mecoprop: Inlcude mecoprop-P, the refined isomer, in the description;Piperonyl butoxide: 0.05 mg/kg in meat, fat and offal from cattle and deer, and milk.(*) indicates that the maximum residue level has been set at or about the limit of analytical quantification. The addition of one new entry in Schedule 3 for veterinary medicines for which no maximum residue level applies:Calcium and its salts, when used for calcium supplementation to treat or prevent post-calving hypocalcaemia.</t>
  </si>
  <si>
    <t>Vegetables, fruit, animal products, and other food products</t>
  </si>
  <si>
    <t>081050 - Fresh kiwifruit; 0701 - Potatoes, fresh or chilled; 0402 - Milk and cream, concentrated or containing added sugar or other sweetening matter; 0401 - Milk and cream, not concentrated nor containing added sugar or other sweetening matter; 0208 - Meat and edible offal of rabbits, hares, pigeons and other animals, fresh, chilled or frozen (excl. of bovine animals, swine, sheep, goats, horses, asses, mules, hinnies, poultry "fowls of the species Gallus domesticus", ducks, geese, turkeys and guinea fowls)</t>
  </si>
  <si>
    <d:r xmlns:d="http://schemas.openxmlformats.org/spreadsheetml/2006/main">
      <d:rPr>
        <d:sz val="11"/>
        <d:rFont val="Calibri"/>
      </d:rPr>
      <d:t xml:space="preserve">https://members.wto.org/crnattachments/2024/SPS/NZL/24_03684_00_e.pdf</d:t>
    </d:r>
  </si>
  <si>
    <t>New GB MRLs for tricyclazole amending the GB MRL Statutory Register </t>
  </si>
  <si>
    <t>Tricyclazole is not an approved active substance in Great Britain. An application was received by the Health and Safety Executive to set new MRL for rice. Following assessment, new MRL have been introduced to set Import Tolerances. The Evaluation Report/ Reasoned Opinion supporting the new MRL is available at the following link. A complete list of the new MRL is available within this document, see page 6: hse.gov.uk/pesticides/assets/docs/mrln-aahy-0475.pdfThe residue levels arising in food from the notified uses result in consumer exposures below the toxicological reference values and therefore harmful effects on human health are not expected. As the residue levels exceed the current MRL in force, a new MRL is being adopted.  </t>
  </si>
  <si>
    <t>Products (and associated GB commodity codes*): Rice (0500060) * For reference, the full list of GB commodity codes is set out in Part 1 of the GB pesticides Maximum Residue Level Statutory Register – see link</t>
  </si>
  <si>
    <d:r xmlns:d="http://schemas.openxmlformats.org/spreadsheetml/2006/main">
      <d:rPr>
        <d:sz val="11"/>
        <d:rFont val="Calibri"/>
      </d:rPr>
      <d:t xml:space="preserve">https://members.wto.org/crnattachments/2024/SPS/GBR/24_03715_00_e.pdf</d:t>
    </d:r>
  </si>
  <si>
    <t>Ministerial Decree No.141/2024 which cancels the Egyptian Standard ES 4759/2018.</t>
  </si>
  <si>
    <t xml:space="preserve">Products covered: Dental Equipment (ICS code(s): 11.060.20)This addendum concerns the notification of the Ministerial Decree No. 141/2024 (2 pages, in Arabic) which cancels the Egyptian Standard ES 4759/2018" Dentistry-patient chair"(14 pages, in Arabic).It should be noted that this standard was replaced by ES 4761-1 for  “dentistry - stationary dental units and dental patient chairs- part: 1 - general requirements” which was formerly notified in G/TBT/N/EGY/3/Add.75 dated 29 May 2024. Worth mentioning is that the Ministerial Decree No. 423/2005 (25 pages, in Arabic) which was formerly notified in G/TBT/N/EGY/3 dated 14 December 2005 and the Ministerial Decree No. 102/2019 (2 pages, in Arabic) which was formerly notified in G/TBT/N/EGY/3/Add.18 dated 13 May 2019, mandated among others the earlier versions of this standard.Producers and importers are kept informed of any amendments in the Egyptian standard through the publication of administrative orders in the official gazette.Date of adoption: 22 April 2024Date of entry into force: 22 May 2024Agency or authority designated to handle comments and text available from:National Enquiry Point Egyptian Organization for Standardization and Quality _x000D_
16 Tadreeb El-Modarrebeen St., Ameriya, Cairo - Egypt _x000D_
E-mail: eos@idsc.net.eg/eos.tbt@eos.org.eg_x000D_
Website: http://www.eos.org.eg_x000D_
Tel:  + (202) 22845528 _x000D_
Fax: + (202) 22845504</t>
  </si>
  <si>
    <t xml:space="preserve">OSHA is extending the period for submitting comments by 30 days to allow stakeholders interested in the NPRM on Emergency Response additional time to review the NPRM and collect information and data necessary for comment.The comment period for the NPRM that was published at 89 FR 7774 on 5 February 2024, is extended. Comments on any aspect of the NPRM must be submitted by 22 July 2024._x000D_
Title 29 Code of Federal Regulations (CFR) Part 1910This extension of comment period and previous actions notified under the symbol G/TBT/N/USA/2098 are identified by Docket Number OSHA-2007-0073. The Docket Folder is available on Regulations.gov at https://www.regulations.gov/docket/OSHA-2007-0073/document and provides access to primary and supporting documents as well as comments received. Documents are also accessible from Regulations.gov by searching the Docket Number. WTO Members and their stakeholders are asked to submit comments to the USA TBT Enquiry Point. Comments received by the USA TBT Enquiry Point from WTO Members and their stakeholders by 4pmEastern Time on 22 July 2024 will be shared with OSHA and will also be submitted to the Docket on Regulations.gov if received within the comment period.</t>
  </si>
  <si>
    <t>The following communication, received on 12 June 2024, is being circulated at the request of the delegation of Colombia.</t>
  </si>
  <si>
    <t xml:space="preserve">•••See below table 001 •••Table001 |  Proyecto Resolución Por la cual se establecen las condiciones para la implementación de la estrategia de vacunación voluntaria preventiva con enfoque en zonas de riesgo para la mitigación del virus de la influenza aviar de alta patogenicidad (H5N1) en la avicultura comercial (Draft Resolution establishing the conditions for implementing the preventive voluntary vaccination strategy in areas of risk to mitigate highly pathogenic avian influenza (H5N1) in commercial poultry farming)   | |  Colombia hereby advises that international public consultations on the draft Resolution establishing the conditions for implementing the preventive voluntary vaccination strategy in areas of risk to mitigate highly pathogenic avian influenza (H5N1) in commercial poultry farming, notified on 11 April 2024 by the World Trade Organization in document G/SPS/N/COL/351, have been extended for a period of five days until 15 June, as the final date for comments was previously 10 June 2024. https://www.sucop.gov.co/entidades/ica/Normativa?IDNorma=16440 https://members.wto.org/crnattachments/2024/SPS/COL/24_03717_00_s.pdf   | |  This addendum concerns a:   | |  [X]Modification of final date for comments   | |</t>
  </si>
  <si>
    <t>Avian Influenza; Modification of final date for comments; Animal health; Zoonoses; Animal diseases; Animal health; Zoonoses; Animal diseases; Avian Influenza</t>
  </si>
  <si>
    <d:r xmlns:d="http://schemas.openxmlformats.org/spreadsheetml/2006/main">
      <d:rPr>
        <d:sz val="11"/>
        <d:rFont val="Calibri"/>
      </d:rPr>
      <d:t xml:space="preserve">https://members.wto.org/crnattachments/2024/SPS/COL/24_03717_00_s.pdf
https://www.sucop.gov.co/entidades/ica/Normativa?IDNorma=16440</d:t>
    </d:r>
  </si>
  <si>
    <t>A New GB MRL for pydiflumetofen amending the GB MRL Statutory Register</t>
  </si>
  <si>
    <t>Pydiflumetofen is a new active substance which has been approved in Great Britain; the representative uses are on wheat, barley, oats, rye and oilseed rape. An MRL application was submitted for carrots, parsnips and parsley roots, these were considered alongside the representative uses. The representative Plant Protection Product has been authorised for use on wheat, barley, oats and rye; a Plant Protection Product is expected to be authorised shortly for use on carrots, parsley roots and parsnips. The authorisations may also lead to residues in rotational crops; hence various MRLs in relevant rotated crops are being raised to account for this possibility. Following assessment, new MRLs have been introduced to accommodate new authorisations of plant protection products in Great Britain. The Evaluation Report/Reasoned Opinion supporting the new MRLs is available at the following link. A complete list of the new or raised MRLs is available within this document, see pages 8-15:  The evaluation of new MRLs for pydiflumetofen in or on various commodities (hse.gov.uk)The residue levels arising in food and feed from the notified uses result in consumer exposures below the toxicological reference values and therefore harmful effects on human health are not expected. As the residue levels exceed the current MRLs in force, new MRLs are being adopted.</t>
  </si>
  <si>
    <t>Products (and associated GB commodity codes*): Root and tuber vegetables (0210000), bulb vegetables (0220000), flowering brassica (0241000), kohlrabis (0244000), leaf vegetables, herbs and edible flowers (0250000), stem vegetables (0270000), barley (0500010), oat (0500050), rye (0500070), wheat (0500090), sugar beet roots (0900010), chicory roots (0900030), tissues from swine, bovine, sheep, goat, equine, poultry and other farmed terrestrial animals (1010000), milk (1020000), birds eggs (1030000) and honey (1040000) * For reference, the full list of GB commodity codes is set out in Part 1 of the GB pesticides Maximum Residue Level Statutory Register – see link</t>
  </si>
  <si>
    <d:r xmlns:d="http://schemas.openxmlformats.org/spreadsheetml/2006/main">
      <d:rPr>
        <d:sz val="11"/>
        <d:rFont val="Calibri"/>
      </d:rPr>
      <d:t xml:space="preserve">https://members.wto.org/crnattachments/2024/SPS/GBR/24_03711_00_e.pdf</d:t>
    </d:r>
  </si>
  <si>
    <t>Significant New Use Rules on Certain Chemical Substances (23-3.5e)</t>
  </si>
  <si>
    <t xml:space="preserve">Proposed rule - EPA is proposing significant new use rules (SNURs) under the 
Toxic Substances Control Act (TSCA) for chemical substances that were 
the subject of premanufacture notices (PMNs) and are also subject to a 
TSCA Order. A SNUR requires persons who intend to manufacture (defined 
by statute to include import) or process a particular chemical 
substance for an activity that is identified as a significant new use 
in the SNUR to notify EPA at least 90 days before commencing that 
activity. The required notification initiates EPA's evaluation of the 
conditions of use identified in the notification to EPA. In addition, 
the manufacture or processing for the significant new use may not 
commence until EPA has conducted a review of the required notification, 
made an appropriate determination regarding that notification, and 
taken such actions as required by that determination.</t>
  </si>
  <si>
    <d:r xmlns:d="http://schemas.openxmlformats.org/spreadsheetml/2006/main">
      <d:rPr>
        <d:sz val="11"/>
        <d:rFont val="Calibri"/>
      </d:rPr>
      <d:t xml:space="preserve">https://members.wto.org/crnattachments/2024/TBT/USA/24_03726_00_e.pdf</d:t>
    </d:r>
  </si>
  <si>
    <t>Establece condiciones sanitarias generales para la importación a Chile de productos pecuarios y animales vivos y deroga Resolución Exenta No 1.150 del 2000</t>
  </si>
  <si>
    <t>La medida notificada establece requisitos para la importación a Chile de animales vivos y productos de origen animal, destacando los siguientes:El país exportador debe contar con una evaluación por parte del SAG de su Autoridad Veterinaria Competente (AVC), de acuerdo a las recomendaciones de los capítulos 3.2 y 3.3 del código sanitario para los animales terrestres de la Organización Mundial de Sanidad Animal (OMSA);Para el ingreso de animales y productos a Chile se considerará la condición de país, zona y compartimento libre de enfermedades;La condición de país, zona o compartimento libre deberá ajustarse a las recomendaciones del código sanitario de animales terrestres de la OMSA, para las diferentes enfermedades;La condición o estatus zoosanitario de país o zona, para las enfermedades en que existe reconocimiento oficial por parte de la OMSA,  ya debe estar otorgado por esta organización al momento de solicitar el reconocimiento por parte del SAG.Para mayor detalle revisar el documento adjunto a esta notificación.</t>
  </si>
  <si>
    <t>Productos pecuarios y animales vivos</t>
  </si>
  <si>
    <d:r xmlns:d="http://schemas.openxmlformats.org/spreadsheetml/2006/main">
      <d:rPr>
        <d:sz val="11"/>
        <d:rFont val="Calibri"/>
      </d:rPr>
      <d:t xml:space="preserve">https://members.wto.org/crnattachments/2024/SPS/CHL/24_03721_00_s.pdf</d:t>
    </d:r>
  </si>
  <si>
    <t>Proyecto de Reglamento Técnico sobre Vajilla y/o utensilios de mesa de plástico biodegradables</t>
  </si>
  <si>
    <t>El proyecto de reglamento técnico tiene por objeto establecer los requisitos técnicos y de etiquetado que deben cumplir en su fabricación la vajilla y/o utensilios de mesa de plástico biodegradables para alimentos y bebidas de consumo humano para el consumo interno, importación, distribución, entrega y comercialización en el marco de la Ley N° 30884, Ley que regula el plástico de un solo uso y los recipientes o envases descartables, a fin de que su degradación no genere contaminación por microplásticos o sustancias peligrosas; asimismo, prevenir y mitigar los riesgos e impactos negativos al ambiente y a la salud en un marco de una economía circular, así como reducir la asimetría informativa en la cadena de consumo</t>
  </si>
  <si>
    <t>Vajilla y/o utensilios de mesa de plástico biodegradables para alimentos y bebidas de consumo humano HSDescripción3916Monofilamentos cuya mayor dimensión de la sección transversal sea superior a 1 mm, barras, varillas y perfiles, incluso trabajados en la superficie, pero sin otra labor, de plástico391610De polímeros de etileno391620De polímeros de cloruro de vinilo391690De los demás plásticos3917Tubos y accesorios de tubería (por ejemplo: juntas, codos, empalmes (racores)), de plástico391721Tubos rígidos: De polímeros de etileno391722Tubos rígidos: De polímeros de propileno391723Tubos rígidos: De polímeros de cloruro de vinilo391729De los demás plásticos391732Los demás tubos: Los demás, sin reforzar ni combinar con otras materias, sin accesorios391739Los demás3924Vajilla y artículos de cocina o de uso doméstico y artículos de higiene o tocador, de plástico.392410Vajilla y demás artículos para el servicio de mesa o de cocina392490Los demás</t>
  </si>
  <si>
    <t>392490 - Household articles and toilet articles, of plastics (excl. tableware, kitchenware, baths, shower-baths, washbasins, bidets, lavatory pans, seats and covers, flushing cisterns and similar sanitary ware); 392410 - Tableware and kitchenware, of plastics; 391739 - Flexible tubes, pipes and hoses, of plastics, reinforced or otherwise combined with other materials (excl. those with a burst pressure of &gt;= 27,6 MPa); 391732 - Flexible tubes, pipes and hoses of plastics, not reinforced or otherwise combined with other materials, without fittings; 391729 - Rigid tubes, pipes and hoses, of plastics (excl. those of polymers of ethylene, propylene and vinyl chloride); 391723 - Rigid tubes, pipes and hoses, of polymers of vinyl chloride; 391722 - Rigid tubes, pipes and hoses of polymers of propylene; 391721 - Rigid tubes, pipes and hoses, of polymers of ethylene; 391690 - Monofilament of which any cross-sectional dimension &gt; 1 mm, rods, sticks and profile shapes, of plastics, whether or not surface worked but not further worked (excl. that of polymers of ethylene and vinyl chloride); 391620 - Monofilament with any cross-sectional dimension of &gt; 1 mm, rods, sticks and profile shapes, whether or not surface-worked but not otherwise worked, of polymers of vinyl chloride; 391610 - Monofilament of which any cross-sectional dimension &gt; 1 mm, rods, sticks and profile shapes, of polymers of ethylene, whether or not surface-worked but not further worked</t>
  </si>
  <si>
    <t>83.080 - Plastics</t>
  </si>
  <si>
    <d:r xmlns:d="http://schemas.openxmlformats.org/spreadsheetml/2006/main">
      <d:rPr>
        <d:sz val="11"/>
        <d:rFont val="Calibri"/>
      </d:rPr>
      <d:t xml:space="preserve">https://members.wto.org/crnattachments/2024/TBT/PER/24_03727_00_s.pdf
https://www.gob.pe/institucion/produce/normas-legales/5580205-206-2024-produce
http://extranet.comunidadandina.org/sirt/public/buscapalavra.aspx
http://consultasenlinea.mincetur.gob.pe/notificaciones/Publico/FrmBuscador.aspx
</d:t>
    </d:r>
  </si>
</sst>
</file>

<file path=xl/styles.xml><?xml version="1.0" encoding="utf-8"?>
<styleSheet xmlns="http://schemas.openxmlformats.org/spreadsheetml/2006/main">
  <numFmts count="1">
    <numFmt numFmtId="164" formatCode="dd/MM/yyyy"/>
  </numFmts>
  <fonts count="2">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cellStyleXfs>
  <cellXfs count="1">
    <xf numFmtId="0" applyNumberFormat="1" fontId="0" applyFont="1" xfId="0" applyProtection="1"/>
    <xf numFmtId="0" applyNumberFormat="1" fontId="1" applyFont="1" xfId="0" applyProtection="1" applyAlignment="1">
      <alignment horizontal="center" vertical="center"/>
    </xf>
    <xf numFmtId="0" applyNumberFormat="1" fontId="0" applyFont="1" xfId="0" applyProtection="1">
      <alignment wrapText="1"/>
    </xf>
    <xf numFmtId="0" applyNumberFormat="1" fontId="1" applyFont="1" xfId="0" applyProtection="1" applyAlignment="1">
      <alignment horizontal="center" vertical="center" wrapText="1"/>
    </xf>
    <xf numFmtId="164" applyNumberFormat="1" fontId="0" applyFont="1" xfId="0" applyProtection="1"/>
    <xf numFmtId="164" applyNumberFormat="1" fontId="1" applyFont="1" xfId="0" applyProtection="1" applyAlignment="1">
      <alignment horizontal="center" vertical="center"/>
    </xf>
    <xf numFmtId="0" applyNumberFormat="1" fontId="0" applyFont="1" xfId="0" applyProtection="1" applyAlignment="1">
      <alignment vertical="top"/>
    </xf>
    <xf numFmtId="164" applyNumberFormat="1" fontId="0" applyFont="1" xfId="0" applyProtection="1" applyAlignment="1">
      <alignment vertical="top"/>
    </xf>
    <xf numFmtId="0" applyNumberFormat="1" fontId="0" applyFont="1" xfId="0" applyProtection="1" applyAlignment="1">
      <alignment vertical="top" wrapText="1"/>
    </xf>
  </cellXfs>
  <cellStyles count="1">
    <cellStyle name="Normal" xfId="0" builtinId="0"/>
  </cellStyles>
  <dxfs count="0"/>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r="http://schemas.openxmlformats.org/officeDocument/2006/relationships" xmlns="http://schemas.openxmlformats.org/spreadsheetml/2006/main" xmlns:xr="http://schemas.microsoft.com/office/spreadsheetml/2014/revision" xmlns:mc="http://schemas.openxmlformats.org/markup-compatibility/2006" mc:Ignorable="xr">
  <dimension ref="A1:Q1800"/>
  <sheetViews>
    <sheetView workbookViewId="0"/>
  </sheetViews>
  <sheetFormatPr defaultRowHeight="15"/>
  <cols>
    <col min="1" max="1" width="30" customWidth="1"/>
    <col min="2" max="2" width="20" customWidth="1" style="4"/>
    <col min="3" max="3" width="50" customWidth="1"/>
    <col min="4" max="4" width="100" customWidth="1" style="2"/>
    <col min="5" max="5" width="100" customWidth="1" style="2"/>
    <col min="6" max="6" width="100" customWidth="1" style="2"/>
    <col min="7" max="7" width="40" customWidth="1"/>
    <col min="8" max="8" width="100" customWidth="1"/>
    <col min="9" max="9" width="100" customWidth="1"/>
    <col min="10" max="10" width="100" customWidth="1"/>
    <col min="11" max="11" width="100" customWidth="1"/>
    <col min="12" max="12" width="30" customWidth="1" style="4"/>
    <col min="13" max="13" width="100" customWidth="1"/>
    <col min="14" max="14" width="100" customWidth="1"/>
    <col min="15" max="15" width="100" customWidth="1"/>
    <col min="16" max="16" width="100" customWidth="1"/>
    <col min="17" max="17" width="100" customWidth="1"/>
  </cols>
  <sheetData>
    <row r="1" ht="30" customHeight="1">
      <c r="A1" s="1" t="s">
        <v>0</v>
      </c>
      <c r="B1" s="5" t="s">
        <v>1</v>
      </c>
      <c r="C1" s="1" t="s">
        <v>2</v>
      </c>
      <c r="D1" s="3" t="s">
        <v>3</v>
      </c>
      <c r="E1" s="3" t="s">
        <v>4</v>
      </c>
      <c r="F1" s="3" t="s">
        <v>5</v>
      </c>
      <c r="G1" s="1" t="s">
        <v>6</v>
      </c>
      <c r="H1" s="1" t="s">
        <v>7</v>
      </c>
      <c r="I1" s="1" t="s">
        <v>8</v>
      </c>
      <c r="J1" s="1" t="s">
        <v>9</v>
      </c>
      <c r="K1" s="1" t="s">
        <v>10</v>
      </c>
      <c r="L1" s="5" t="s">
        <v>11</v>
      </c>
      <c r="M1" s="1" t="s">
        <v>12</v>
      </c>
      <c r="N1" s="1" t="s">
        <v>13</v>
      </c>
      <c r="O1" s="1" t="s">
        <v>14</v>
      </c>
      <c r="P1" s="1" t="s">
        <v>15</v>
      </c>
      <c r="Q1" s="1" t="s">
        <v>16</v>
      </c>
    </row>
    <row r="2">
      <c r="A2" s="6" t="s">
        <v>17</v>
      </c>
      <c r="B2" s="7">
        <v>45552</v>
      </c>
      <c r="C2" s="6">
        <f>HYPERLINK("https://eping.wto.org/en/Search?viewData= G/TBT/N/KEN/1662"," G/TBT/N/KEN/1662")</f>
      </c>
      <c r="D2" s="8" t="s">
        <v>18</v>
      </c>
      <c r="E2" s="8" t="s">
        <v>19</v>
      </c>
      <c r="F2" s="8" t="s">
        <v>20</v>
      </c>
      <c r="G2" s="6" t="s">
        <v>21</v>
      </c>
      <c r="H2" s="6" t="s">
        <v>22</v>
      </c>
      <c r="I2" s="6" t="s">
        <v>23</v>
      </c>
      <c r="J2" s="6" t="s">
        <v>24</v>
      </c>
      <c r="K2" s="6"/>
      <c r="L2" s="7">
        <v>45612</v>
      </c>
      <c r="M2" s="6" t="s">
        <v>25</v>
      </c>
      <c r="N2" s="8" t="s">
        <v>26</v>
      </c>
      <c r="O2" s="6">
        <f>HYPERLINK("https://docs.wto.org/imrd/directdoc.asp?DDFDocuments/t/G/TBTN24/KEN1662.DOCX", "https://docs.wto.org/imrd/directdoc.asp?DDFDocuments/t/G/TBTN24/KEN1662.DOCX")</f>
      </c>
      <c r="P2" s="6">
        <f>HYPERLINK("https://docs.wto.org/imrd/directdoc.asp?DDFDocuments/u/G/TBTN24/KEN1662.DOCX", "https://docs.wto.org/imrd/directdoc.asp?DDFDocuments/u/G/TBTN24/KEN1662.DOCX")</f>
      </c>
      <c r="Q2" s="6">
        <f>HYPERLINK("https://docs.wto.org/imrd/directdoc.asp?DDFDocuments/v/G/TBTN24/KEN1662.DOCX", "https://docs.wto.org/imrd/directdoc.asp?DDFDocuments/v/G/TBTN24/KEN1662.DOCX")</f>
      </c>
    </row>
    <row r="3">
      <c r="A3" s="6" t="s">
        <v>17</v>
      </c>
      <c r="B3" s="7">
        <v>45552</v>
      </c>
      <c r="C3" s="6">
        <f>HYPERLINK("https://eping.wto.org/en/Search?viewData= G/TBT/N/KEN/1663"," G/TBT/N/KEN/1663")</f>
      </c>
      <c r="D3" s="8" t="s">
        <v>27</v>
      </c>
      <c r="E3" s="8" t="s">
        <v>28</v>
      </c>
      <c r="F3" s="8" t="s">
        <v>29</v>
      </c>
      <c r="G3" s="6" t="s">
        <v>30</v>
      </c>
      <c r="H3" s="6" t="s">
        <v>31</v>
      </c>
      <c r="I3" s="6" t="s">
        <v>23</v>
      </c>
      <c r="J3" s="6" t="s">
        <v>24</v>
      </c>
      <c r="K3" s="6"/>
      <c r="L3" s="7">
        <v>45612</v>
      </c>
      <c r="M3" s="6" t="s">
        <v>25</v>
      </c>
      <c r="N3" s="8" t="s">
        <v>32</v>
      </c>
      <c r="O3" s="6">
        <f>HYPERLINK("https://docs.wto.org/imrd/directdoc.asp?DDFDocuments/t/G/TBTN24/KEN1663.DOCX", "https://docs.wto.org/imrd/directdoc.asp?DDFDocuments/t/G/TBTN24/KEN1663.DOCX")</f>
      </c>
      <c r="P3" s="6">
        <f>HYPERLINK("https://docs.wto.org/imrd/directdoc.asp?DDFDocuments/u/G/TBTN24/KEN1663.DOCX", "https://docs.wto.org/imrd/directdoc.asp?DDFDocuments/u/G/TBTN24/KEN1663.DOCX")</f>
      </c>
      <c r="Q3" s="6">
        <f>HYPERLINK("https://docs.wto.org/imrd/directdoc.asp?DDFDocuments/v/G/TBTN24/KEN1663.DOCX", "https://docs.wto.org/imrd/directdoc.asp?DDFDocuments/v/G/TBTN24/KEN1663.DOCX")</f>
      </c>
    </row>
    <row r="4">
      <c r="A4" s="6" t="s">
        <v>17</v>
      </c>
      <c r="B4" s="7">
        <v>45552</v>
      </c>
      <c r="C4" s="6">
        <f>HYPERLINK("https://eping.wto.org/en/Search?viewData= G/SPS/N/KEN/302"," G/SPS/N/KEN/302")</f>
      </c>
      <c r="D4" s="8" t="s">
        <v>33</v>
      </c>
      <c r="E4" s="8" t="s">
        <v>34</v>
      </c>
      <c r="F4" s="8" t="s">
        <v>35</v>
      </c>
      <c r="G4" s="6" t="s">
        <v>36</v>
      </c>
      <c r="H4" s="6" t="s">
        <v>37</v>
      </c>
      <c r="I4" s="6" t="s">
        <v>38</v>
      </c>
      <c r="J4" s="6" t="s">
        <v>39</v>
      </c>
      <c r="K4" s="6" t="s">
        <v>40</v>
      </c>
      <c r="L4" s="7">
        <v>45612</v>
      </c>
      <c r="M4" s="6" t="s">
        <v>25</v>
      </c>
      <c r="N4" s="8" t="s">
        <v>41</v>
      </c>
      <c r="O4" s="6">
        <f>HYPERLINK("https://docs.wto.org/imrd/directdoc.asp?DDFDocuments/t/G/SPS/NKEN302.DOCX", "https://docs.wto.org/imrd/directdoc.asp?DDFDocuments/t/G/SPS/NKEN302.DOCX")</f>
      </c>
      <c r="P4" s="6">
        <f>HYPERLINK("https://docs.wto.org/imrd/directdoc.asp?DDFDocuments/u/G/SPS/NKEN302.DOCX", "https://docs.wto.org/imrd/directdoc.asp?DDFDocuments/u/G/SPS/NKEN302.DOCX")</f>
      </c>
      <c r="Q4" s="6">
        <f>HYPERLINK("https://docs.wto.org/imrd/directdoc.asp?DDFDocuments/v/G/SPS/NKEN302.DOCX", "https://docs.wto.org/imrd/directdoc.asp?DDFDocuments/v/G/SPS/NKEN302.DOCX")</f>
      </c>
    </row>
    <row r="5">
      <c r="A5" s="6" t="s">
        <v>17</v>
      </c>
      <c r="B5" s="7">
        <v>45552</v>
      </c>
      <c r="C5" s="6">
        <f>HYPERLINK("https://eping.wto.org/en/Search?viewData= G/SPS/N/KEN/303"," G/SPS/N/KEN/303")</f>
      </c>
      <c r="D5" s="8" t="s">
        <v>42</v>
      </c>
      <c r="E5" s="8" t="s">
        <v>43</v>
      </c>
      <c r="F5" s="8" t="s">
        <v>35</v>
      </c>
      <c r="G5" s="6" t="s">
        <v>44</v>
      </c>
      <c r="H5" s="6" t="s">
        <v>37</v>
      </c>
      <c r="I5" s="6" t="s">
        <v>38</v>
      </c>
      <c r="J5" s="6" t="s">
        <v>39</v>
      </c>
      <c r="K5" s="6" t="s">
        <v>40</v>
      </c>
      <c r="L5" s="7">
        <v>45612</v>
      </c>
      <c r="M5" s="6" t="s">
        <v>25</v>
      </c>
      <c r="N5" s="8" t="s">
        <v>45</v>
      </c>
      <c r="O5" s="6">
        <f>HYPERLINK("https://docs.wto.org/imrd/directdoc.asp?DDFDocuments/t/G/SPS/NKEN303.DOCX", "https://docs.wto.org/imrd/directdoc.asp?DDFDocuments/t/G/SPS/NKEN303.DOCX")</f>
      </c>
      <c r="P5" s="6">
        <f>HYPERLINK("https://docs.wto.org/imrd/directdoc.asp?DDFDocuments/u/G/SPS/NKEN303.DOCX", "https://docs.wto.org/imrd/directdoc.asp?DDFDocuments/u/G/SPS/NKEN303.DOCX")</f>
      </c>
      <c r="Q5" s="6">
        <f>HYPERLINK("https://docs.wto.org/imrd/directdoc.asp?DDFDocuments/v/G/SPS/NKEN303.DOCX", "https://docs.wto.org/imrd/directdoc.asp?DDFDocuments/v/G/SPS/NKEN303.DOCX")</f>
      </c>
    </row>
    <row r="6">
      <c r="A6" s="6" t="s">
        <v>46</v>
      </c>
      <c r="B6" s="7">
        <v>45552</v>
      </c>
      <c r="C6" s="6">
        <f>HYPERLINK("https://eping.wto.org/en/Search?viewData= G/TBT/N/MDA/59"," G/TBT/N/MDA/59")</f>
      </c>
      <c r="D6" s="8" t="s">
        <v>47</v>
      </c>
      <c r="E6" s="8" t="s">
        <v>48</v>
      </c>
      <c r="F6" s="8" t="s">
        <v>49</v>
      </c>
      <c r="G6" s="6" t="s">
        <v>50</v>
      </c>
      <c r="H6" s="6" t="s">
        <v>51</v>
      </c>
      <c r="I6" s="6" t="s">
        <v>23</v>
      </c>
      <c r="J6" s="6" t="s">
        <v>40</v>
      </c>
      <c r="K6" s="6"/>
      <c r="L6" s="7">
        <v>45548</v>
      </c>
      <c r="M6" s="6" t="s">
        <v>25</v>
      </c>
      <c r="N6" s="8" t="s">
        <v>52</v>
      </c>
      <c r="O6" s="6">
        <f>HYPERLINK("https://docs.wto.org/imrd/directdoc.asp?DDFDocuments/t/G/TBTN24/MDA59.DOCX", "https://docs.wto.org/imrd/directdoc.asp?DDFDocuments/t/G/TBTN24/MDA59.DOCX")</f>
      </c>
      <c r="P6" s="6">
        <f>HYPERLINK("https://docs.wto.org/imrd/directdoc.asp?DDFDocuments/u/G/TBTN24/MDA59.DOCX", "https://docs.wto.org/imrd/directdoc.asp?DDFDocuments/u/G/TBTN24/MDA59.DOCX")</f>
      </c>
      <c r="Q6" s="6">
        <f>HYPERLINK("https://docs.wto.org/imrd/directdoc.asp?DDFDocuments/v/G/TBTN24/MDA59.DOCX", "https://docs.wto.org/imrd/directdoc.asp?DDFDocuments/v/G/TBTN24/MDA59.DOCX")</f>
      </c>
    </row>
    <row r="7">
      <c r="A7" s="6" t="s">
        <v>17</v>
      </c>
      <c r="B7" s="7">
        <v>45552</v>
      </c>
      <c r="C7" s="6">
        <f>HYPERLINK("https://eping.wto.org/en/Search?viewData= G/TBT/N/KEN/1658"," G/TBT/N/KEN/1658")</f>
      </c>
      <c r="D7" s="8" t="s">
        <v>53</v>
      </c>
      <c r="E7" s="8" t="s">
        <v>54</v>
      </c>
      <c r="F7" s="8" t="s">
        <v>20</v>
      </c>
      <c r="G7" s="6" t="s">
        <v>40</v>
      </c>
      <c r="H7" s="6" t="s">
        <v>22</v>
      </c>
      <c r="I7" s="6" t="s">
        <v>55</v>
      </c>
      <c r="J7" s="6" t="s">
        <v>24</v>
      </c>
      <c r="K7" s="6"/>
      <c r="L7" s="7">
        <v>45612</v>
      </c>
      <c r="M7" s="6" t="s">
        <v>25</v>
      </c>
      <c r="N7" s="8" t="s">
        <v>56</v>
      </c>
      <c r="O7" s="6">
        <f>HYPERLINK("https://docs.wto.org/imrd/directdoc.asp?DDFDocuments/t/G/TBTN24/KEN1658.DOCX", "https://docs.wto.org/imrd/directdoc.asp?DDFDocuments/t/G/TBTN24/KEN1658.DOCX")</f>
      </c>
      <c r="P7" s="6">
        <f>HYPERLINK("https://docs.wto.org/imrd/directdoc.asp?DDFDocuments/u/G/TBTN24/KEN1658.DOCX", "https://docs.wto.org/imrd/directdoc.asp?DDFDocuments/u/G/TBTN24/KEN1658.DOCX")</f>
      </c>
      <c r="Q7" s="6">
        <f>HYPERLINK("https://docs.wto.org/imrd/directdoc.asp?DDFDocuments/v/G/TBTN24/KEN1658.DOCX", "https://docs.wto.org/imrd/directdoc.asp?DDFDocuments/v/G/TBTN24/KEN1658.DOCX")</f>
      </c>
    </row>
    <row r="8">
      <c r="A8" s="6" t="s">
        <v>17</v>
      </c>
      <c r="B8" s="7">
        <v>45552</v>
      </c>
      <c r="C8" s="6">
        <f>HYPERLINK("https://eping.wto.org/en/Search?viewData= G/TBT/N/KEN/1657"," G/TBT/N/KEN/1657")</f>
      </c>
      <c r="D8" s="8" t="s">
        <v>57</v>
      </c>
      <c r="E8" s="8" t="s">
        <v>43</v>
      </c>
      <c r="F8" s="8" t="s">
        <v>35</v>
      </c>
      <c r="G8" s="6" t="s">
        <v>44</v>
      </c>
      <c r="H8" s="6" t="s">
        <v>37</v>
      </c>
      <c r="I8" s="6" t="s">
        <v>23</v>
      </c>
      <c r="J8" s="6" t="s">
        <v>24</v>
      </c>
      <c r="K8" s="6"/>
      <c r="L8" s="7">
        <v>45612</v>
      </c>
      <c r="M8" s="6" t="s">
        <v>25</v>
      </c>
      <c r="N8" s="8" t="s">
        <v>58</v>
      </c>
      <c r="O8" s="6">
        <f>HYPERLINK("https://docs.wto.org/imrd/directdoc.asp?DDFDocuments/t/G/TBTN24/KEN1657.DOCX", "https://docs.wto.org/imrd/directdoc.asp?DDFDocuments/t/G/TBTN24/KEN1657.DOCX")</f>
      </c>
      <c r="P8" s="6">
        <f>HYPERLINK("https://docs.wto.org/imrd/directdoc.asp?DDFDocuments/u/G/TBTN24/KEN1657.DOCX", "https://docs.wto.org/imrd/directdoc.asp?DDFDocuments/u/G/TBTN24/KEN1657.DOCX")</f>
      </c>
      <c r="Q8" s="6">
        <f>HYPERLINK("https://docs.wto.org/imrd/directdoc.asp?DDFDocuments/v/G/TBTN24/KEN1657.DOCX", "https://docs.wto.org/imrd/directdoc.asp?DDFDocuments/v/G/TBTN24/KEN1657.DOCX")</f>
      </c>
    </row>
    <row r="9">
      <c r="A9" s="6" t="s">
        <v>17</v>
      </c>
      <c r="B9" s="7">
        <v>45552</v>
      </c>
      <c r="C9" s="6">
        <f>HYPERLINK("https://eping.wto.org/en/Search?viewData= G/SPS/N/KEN/300"," G/SPS/N/KEN/300")</f>
      </c>
      <c r="D9" s="8" t="s">
        <v>27</v>
      </c>
      <c r="E9" s="8" t="s">
        <v>28</v>
      </c>
      <c r="F9" s="8" t="s">
        <v>29</v>
      </c>
      <c r="G9" s="6" t="s">
        <v>59</v>
      </c>
      <c r="H9" s="6" t="s">
        <v>31</v>
      </c>
      <c r="I9" s="6" t="s">
        <v>38</v>
      </c>
      <c r="J9" s="6" t="s">
        <v>60</v>
      </c>
      <c r="K9" s="6" t="s">
        <v>40</v>
      </c>
      <c r="L9" s="7">
        <v>45612</v>
      </c>
      <c r="M9" s="6" t="s">
        <v>25</v>
      </c>
      <c r="N9" s="8" t="s">
        <v>61</v>
      </c>
      <c r="O9" s="6">
        <f>HYPERLINK("https://docs.wto.org/imrd/directdoc.asp?DDFDocuments/t/G/SPS/NKEN300.DOCX", "https://docs.wto.org/imrd/directdoc.asp?DDFDocuments/t/G/SPS/NKEN300.DOCX")</f>
      </c>
      <c r="P9" s="6">
        <f>HYPERLINK("https://docs.wto.org/imrd/directdoc.asp?DDFDocuments/u/G/SPS/NKEN300.DOCX", "https://docs.wto.org/imrd/directdoc.asp?DDFDocuments/u/G/SPS/NKEN300.DOCX")</f>
      </c>
      <c r="Q9" s="6">
        <f>HYPERLINK("https://docs.wto.org/imrd/directdoc.asp?DDFDocuments/v/G/SPS/NKEN300.DOCX", "https://docs.wto.org/imrd/directdoc.asp?DDFDocuments/v/G/SPS/NKEN300.DOCX")</f>
      </c>
    </row>
    <row r="10">
      <c r="A10" s="6" t="s">
        <v>62</v>
      </c>
      <c r="B10" s="7">
        <v>45552</v>
      </c>
      <c r="C10" s="6">
        <f>HYPERLINK("https://eping.wto.org/en/Search?viewData= G/TBT/N/ESP/50"," G/TBT/N/ESP/50")</f>
      </c>
      <c r="D10" s="8" t="s">
        <v>63</v>
      </c>
      <c r="E10" s="8" t="s">
        <v>64</v>
      </c>
      <c r="F10" s="8" t="s">
        <v>65</v>
      </c>
      <c r="G10" s="6" t="s">
        <v>66</v>
      </c>
      <c r="H10" s="6" t="s">
        <v>67</v>
      </c>
      <c r="I10" s="6" t="s">
        <v>68</v>
      </c>
      <c r="J10" s="6" t="s">
        <v>24</v>
      </c>
      <c r="K10" s="6"/>
      <c r="L10" s="7">
        <v>45612</v>
      </c>
      <c r="M10" s="6" t="s">
        <v>25</v>
      </c>
      <c r="N10" s="8" t="s">
        <v>69</v>
      </c>
      <c r="O10" s="6">
        <f>HYPERLINK("https://docs.wto.org/imrd/directdoc.asp?DDFDocuments/t/G/TBTN24/ESP50.DOCX", "https://docs.wto.org/imrd/directdoc.asp?DDFDocuments/t/G/TBTN24/ESP50.DOCX")</f>
      </c>
      <c r="P10" s="6">
        <f>HYPERLINK("https://docs.wto.org/imrd/directdoc.asp?DDFDocuments/u/G/TBTN24/ESP50.DOCX", "https://docs.wto.org/imrd/directdoc.asp?DDFDocuments/u/G/TBTN24/ESP50.DOCX")</f>
      </c>
      <c r="Q10" s="6">
        <f>HYPERLINK("https://docs.wto.org/imrd/directdoc.asp?DDFDocuments/v/G/TBTN24/ESP50.DOCX", "https://docs.wto.org/imrd/directdoc.asp?DDFDocuments/v/G/TBTN24/ESP50.DOCX")</f>
      </c>
    </row>
    <row r="11">
      <c r="A11" s="6" t="s">
        <v>70</v>
      </c>
      <c r="B11" s="7">
        <v>45552</v>
      </c>
      <c r="C11" s="6">
        <f>HYPERLINK("https://eping.wto.org/en/Search?viewData= G/TBT/N/UKR/302/Add.1"," G/TBT/N/UKR/302/Add.1")</f>
      </c>
      <c r="D11" s="8" t="s">
        <v>71</v>
      </c>
      <c r="E11" s="8" t="s">
        <v>72</v>
      </c>
      <c r="F11" s="8" t="s">
        <v>73</v>
      </c>
      <c r="G11" s="6" t="s">
        <v>40</v>
      </c>
      <c r="H11" s="6" t="s">
        <v>74</v>
      </c>
      <c r="I11" s="6" t="s">
        <v>75</v>
      </c>
      <c r="J11" s="6" t="s">
        <v>40</v>
      </c>
      <c r="K11" s="6"/>
      <c r="L11" s="7" t="s">
        <v>40</v>
      </c>
      <c r="M11" s="6" t="s">
        <v>76</v>
      </c>
      <c r="N11" s="8" t="s">
        <v>77</v>
      </c>
      <c r="O11" s="6">
        <f>HYPERLINK("https://docs.wto.org/imrd/directdoc.asp?DDFDocuments/t/G/TBTN24/UKR302A1.DOCX", "https://docs.wto.org/imrd/directdoc.asp?DDFDocuments/t/G/TBTN24/UKR302A1.DOCX")</f>
      </c>
      <c r="P11" s="6">
        <f>HYPERLINK("https://docs.wto.org/imrd/directdoc.asp?DDFDocuments/u/G/TBTN24/UKR302A1.DOCX", "https://docs.wto.org/imrd/directdoc.asp?DDFDocuments/u/G/TBTN24/UKR302A1.DOCX")</f>
      </c>
      <c r="Q11" s="6">
        <f>HYPERLINK("https://docs.wto.org/imrd/directdoc.asp?DDFDocuments/v/G/TBTN24/UKR302A1.DOCX", "https://docs.wto.org/imrd/directdoc.asp?DDFDocuments/v/G/TBTN24/UKR302A1.DOCX")</f>
      </c>
    </row>
    <row r="12">
      <c r="A12" s="6" t="s">
        <v>17</v>
      </c>
      <c r="B12" s="7">
        <v>45552</v>
      </c>
      <c r="C12" s="6">
        <f>HYPERLINK("https://eping.wto.org/en/Search?viewData= G/TBT/N/KEN/1659"," G/TBT/N/KEN/1659")</f>
      </c>
      <c r="D12" s="8" t="s">
        <v>78</v>
      </c>
      <c r="E12" s="8" t="s">
        <v>79</v>
      </c>
      <c r="F12" s="8" t="s">
        <v>29</v>
      </c>
      <c r="G12" s="6" t="s">
        <v>80</v>
      </c>
      <c r="H12" s="6" t="s">
        <v>31</v>
      </c>
      <c r="I12" s="6" t="s">
        <v>81</v>
      </c>
      <c r="J12" s="6" t="s">
        <v>24</v>
      </c>
      <c r="K12" s="6"/>
      <c r="L12" s="7">
        <v>45612</v>
      </c>
      <c r="M12" s="6" t="s">
        <v>25</v>
      </c>
      <c r="N12" s="8" t="s">
        <v>82</v>
      </c>
      <c r="O12" s="6">
        <f>HYPERLINK("https://docs.wto.org/imrd/directdoc.asp?DDFDocuments/t/G/TBTN24/KEN1659.DOCX", "https://docs.wto.org/imrd/directdoc.asp?DDFDocuments/t/G/TBTN24/KEN1659.DOCX")</f>
      </c>
      <c r="P12" s="6">
        <f>HYPERLINK("https://docs.wto.org/imrd/directdoc.asp?DDFDocuments/u/G/TBTN24/KEN1659.DOCX", "https://docs.wto.org/imrd/directdoc.asp?DDFDocuments/u/G/TBTN24/KEN1659.DOCX")</f>
      </c>
      <c r="Q12" s="6">
        <f>HYPERLINK("https://docs.wto.org/imrd/directdoc.asp?DDFDocuments/v/G/TBTN24/KEN1659.DOCX", "https://docs.wto.org/imrd/directdoc.asp?DDFDocuments/v/G/TBTN24/KEN1659.DOCX")</f>
      </c>
    </row>
    <row r="13">
      <c r="A13" s="6" t="s">
        <v>17</v>
      </c>
      <c r="B13" s="7">
        <v>45552</v>
      </c>
      <c r="C13" s="6">
        <f>HYPERLINK("https://eping.wto.org/en/Search?viewData= G/TBT/N/KEN/1660"," G/TBT/N/KEN/1660")</f>
      </c>
      <c r="D13" s="8" t="s">
        <v>83</v>
      </c>
      <c r="E13" s="8" t="s">
        <v>84</v>
      </c>
      <c r="F13" s="8" t="s">
        <v>35</v>
      </c>
      <c r="G13" s="6" t="s">
        <v>36</v>
      </c>
      <c r="H13" s="6" t="s">
        <v>37</v>
      </c>
      <c r="I13" s="6" t="s">
        <v>23</v>
      </c>
      <c r="J13" s="6" t="s">
        <v>24</v>
      </c>
      <c r="K13" s="6"/>
      <c r="L13" s="7">
        <v>45612</v>
      </c>
      <c r="M13" s="6" t="s">
        <v>25</v>
      </c>
      <c r="N13" s="8" t="s">
        <v>85</v>
      </c>
      <c r="O13" s="6">
        <f>HYPERLINK("https://docs.wto.org/imrd/directdoc.asp?DDFDocuments/t/G/TBTN24/KEN1660.DOCX", "https://docs.wto.org/imrd/directdoc.asp?DDFDocuments/t/G/TBTN24/KEN1660.DOCX")</f>
      </c>
      <c r="P13" s="6">
        <f>HYPERLINK("https://docs.wto.org/imrd/directdoc.asp?DDFDocuments/u/G/TBTN24/KEN1660.DOCX", "https://docs.wto.org/imrd/directdoc.asp?DDFDocuments/u/G/TBTN24/KEN1660.DOCX")</f>
      </c>
      <c r="Q13" s="6">
        <f>HYPERLINK("https://docs.wto.org/imrd/directdoc.asp?DDFDocuments/v/G/TBTN24/KEN1660.DOCX", "https://docs.wto.org/imrd/directdoc.asp?DDFDocuments/v/G/TBTN24/KEN1660.DOCX")</f>
      </c>
    </row>
    <row r="14">
      <c r="A14" s="6" t="s">
        <v>17</v>
      </c>
      <c r="B14" s="7">
        <v>45552</v>
      </c>
      <c r="C14" s="6">
        <f>HYPERLINK("https://eping.wto.org/en/Search?viewData= G/SPS/N/KEN/299"," G/SPS/N/KEN/299")</f>
      </c>
      <c r="D14" s="8" t="s">
        <v>18</v>
      </c>
      <c r="E14" s="8" t="s">
        <v>19</v>
      </c>
      <c r="F14" s="8" t="s">
        <v>20</v>
      </c>
      <c r="G14" s="6" t="s">
        <v>21</v>
      </c>
      <c r="H14" s="6" t="s">
        <v>22</v>
      </c>
      <c r="I14" s="6" t="s">
        <v>38</v>
      </c>
      <c r="J14" s="6" t="s">
        <v>39</v>
      </c>
      <c r="K14" s="6" t="s">
        <v>40</v>
      </c>
      <c r="L14" s="7">
        <v>45612</v>
      </c>
      <c r="M14" s="6" t="s">
        <v>25</v>
      </c>
      <c r="N14" s="8" t="s">
        <v>86</v>
      </c>
      <c r="O14" s="6">
        <f>HYPERLINK("https://docs.wto.org/imrd/directdoc.asp?DDFDocuments/t/G/SPS/NKEN299.DOCX", "https://docs.wto.org/imrd/directdoc.asp?DDFDocuments/t/G/SPS/NKEN299.DOCX")</f>
      </c>
      <c r="P14" s="6">
        <f>HYPERLINK("https://docs.wto.org/imrd/directdoc.asp?DDFDocuments/u/G/SPS/NKEN299.DOCX", "https://docs.wto.org/imrd/directdoc.asp?DDFDocuments/u/G/SPS/NKEN299.DOCX")</f>
      </c>
      <c r="Q14" s="6">
        <f>HYPERLINK("https://docs.wto.org/imrd/directdoc.asp?DDFDocuments/v/G/SPS/NKEN299.DOCX", "https://docs.wto.org/imrd/directdoc.asp?DDFDocuments/v/G/SPS/NKEN299.DOCX")</f>
      </c>
    </row>
    <row r="15">
      <c r="A15" s="6" t="s">
        <v>17</v>
      </c>
      <c r="B15" s="7">
        <v>45552</v>
      </c>
      <c r="C15" s="6">
        <f>HYPERLINK("https://eping.wto.org/en/Search?viewData= G/SPS/N/KEN/301"," G/SPS/N/KEN/301")</f>
      </c>
      <c r="D15" s="8" t="s">
        <v>87</v>
      </c>
      <c r="E15" s="8" t="s">
        <v>19</v>
      </c>
      <c r="F15" s="8" t="s">
        <v>20</v>
      </c>
      <c r="G15" s="6" t="s">
        <v>21</v>
      </c>
      <c r="H15" s="6" t="s">
        <v>22</v>
      </c>
      <c r="I15" s="6" t="s">
        <v>38</v>
      </c>
      <c r="J15" s="6" t="s">
        <v>60</v>
      </c>
      <c r="K15" s="6" t="s">
        <v>40</v>
      </c>
      <c r="L15" s="7">
        <v>45612</v>
      </c>
      <c r="M15" s="6" t="s">
        <v>25</v>
      </c>
      <c r="N15" s="8" t="s">
        <v>88</v>
      </c>
      <c r="O15" s="6">
        <f>HYPERLINK("https://docs.wto.org/imrd/directdoc.asp?DDFDocuments/t/G/SPS/NKEN301.DOCX", "https://docs.wto.org/imrd/directdoc.asp?DDFDocuments/t/G/SPS/NKEN301.DOCX")</f>
      </c>
      <c r="P15" s="6">
        <f>HYPERLINK("https://docs.wto.org/imrd/directdoc.asp?DDFDocuments/u/G/SPS/NKEN301.DOCX", "https://docs.wto.org/imrd/directdoc.asp?DDFDocuments/u/G/SPS/NKEN301.DOCX")</f>
      </c>
      <c r="Q15" s="6">
        <f>HYPERLINK("https://docs.wto.org/imrd/directdoc.asp?DDFDocuments/v/G/SPS/NKEN301.DOCX", "https://docs.wto.org/imrd/directdoc.asp?DDFDocuments/v/G/SPS/NKEN301.DOCX")</f>
      </c>
    </row>
    <row r="16">
      <c r="A16" s="6" t="s">
        <v>89</v>
      </c>
      <c r="B16" s="7">
        <v>45552</v>
      </c>
      <c r="C16" s="6">
        <f>HYPERLINK("https://eping.wto.org/en/Search?viewData= G/TBT/N/ECU/547"," G/TBT/N/ECU/547")</f>
      </c>
      <c r="D16" s="8" t="s">
        <v>90</v>
      </c>
      <c r="E16" s="8" t="s">
        <v>91</v>
      </c>
      <c r="F16" s="8" t="s">
        <v>92</v>
      </c>
      <c r="G16" s="6" t="s">
        <v>40</v>
      </c>
      <c r="H16" s="6" t="s">
        <v>93</v>
      </c>
      <c r="I16" s="6" t="s">
        <v>94</v>
      </c>
      <c r="J16" s="6" t="s">
        <v>95</v>
      </c>
      <c r="K16" s="6"/>
      <c r="L16" s="7">
        <v>45612</v>
      </c>
      <c r="M16" s="6" t="s">
        <v>25</v>
      </c>
      <c r="N16" s="8" t="s">
        <v>96</v>
      </c>
      <c r="O16" s="6">
        <f>HYPERLINK("https://docs.wto.org/imrd/directdoc.asp?DDFDocuments/t/G/TBTN24/ECU547.DOCX", "https://docs.wto.org/imrd/directdoc.asp?DDFDocuments/t/G/TBTN24/ECU547.DOCX")</f>
      </c>
      <c r="P16" s="6">
        <f>HYPERLINK("https://docs.wto.org/imrd/directdoc.asp?DDFDocuments/u/G/TBTN24/ECU547.DOCX", "https://docs.wto.org/imrd/directdoc.asp?DDFDocuments/u/G/TBTN24/ECU547.DOCX")</f>
      </c>
      <c r="Q16" s="6">
        <f>HYPERLINK("https://docs.wto.org/imrd/directdoc.asp?DDFDocuments/v/G/TBTN24/ECU547.DOCX", "https://docs.wto.org/imrd/directdoc.asp?DDFDocuments/v/G/TBTN24/ECU547.DOCX")</f>
      </c>
    </row>
    <row r="17">
      <c r="A17" s="6" t="s">
        <v>17</v>
      </c>
      <c r="B17" s="7">
        <v>45552</v>
      </c>
      <c r="C17" s="6">
        <f>HYPERLINK("https://eping.wto.org/en/Search?viewData= G/TBT/N/KEN/1661"," G/TBT/N/KEN/1661")</f>
      </c>
      <c r="D17" s="8" t="s">
        <v>97</v>
      </c>
      <c r="E17" s="8" t="s">
        <v>19</v>
      </c>
      <c r="F17" s="8" t="s">
        <v>20</v>
      </c>
      <c r="G17" s="6" t="s">
        <v>21</v>
      </c>
      <c r="H17" s="6" t="s">
        <v>22</v>
      </c>
      <c r="I17" s="6" t="s">
        <v>23</v>
      </c>
      <c r="J17" s="6" t="s">
        <v>24</v>
      </c>
      <c r="K17" s="6"/>
      <c r="L17" s="7">
        <v>45612</v>
      </c>
      <c r="M17" s="6" t="s">
        <v>25</v>
      </c>
      <c r="N17" s="8" t="s">
        <v>98</v>
      </c>
      <c r="O17" s="6">
        <f>HYPERLINK("https://docs.wto.org/imrd/directdoc.asp?DDFDocuments/t/G/TBTN24/KEN1661.DOCX", "https://docs.wto.org/imrd/directdoc.asp?DDFDocuments/t/G/TBTN24/KEN1661.DOCX")</f>
      </c>
      <c r="P17" s="6">
        <f>HYPERLINK("https://docs.wto.org/imrd/directdoc.asp?DDFDocuments/u/G/TBTN24/KEN1661.DOCX", "https://docs.wto.org/imrd/directdoc.asp?DDFDocuments/u/G/TBTN24/KEN1661.DOCX")</f>
      </c>
      <c r="Q17" s="6">
        <f>HYPERLINK("https://docs.wto.org/imrd/directdoc.asp?DDFDocuments/v/G/TBTN24/KEN1661.DOCX", "https://docs.wto.org/imrd/directdoc.asp?DDFDocuments/v/G/TBTN24/KEN1661.DOCX")</f>
      </c>
    </row>
    <row r="18">
      <c r="A18" s="6" t="s">
        <v>99</v>
      </c>
      <c r="B18" s="7">
        <v>45552</v>
      </c>
      <c r="C18" s="6">
        <f>HYPERLINK("https://eping.wto.org/en/Search?viewData= G/SPS/N/AUS/602"," G/SPS/N/AUS/602")</f>
      </c>
      <c r="D18" s="8" t="s">
        <v>100</v>
      </c>
      <c r="E18" s="8" t="s">
        <v>101</v>
      </c>
      <c r="F18" s="8" t="s">
        <v>102</v>
      </c>
      <c r="G18" s="6" t="s">
        <v>40</v>
      </c>
      <c r="H18" s="6" t="s">
        <v>40</v>
      </c>
      <c r="I18" s="6" t="s">
        <v>38</v>
      </c>
      <c r="J18" s="6" t="s">
        <v>103</v>
      </c>
      <c r="K18" s="6" t="s">
        <v>40</v>
      </c>
      <c r="L18" s="7">
        <v>45612</v>
      </c>
      <c r="M18" s="6" t="s">
        <v>25</v>
      </c>
      <c r="N18" s="8" t="s">
        <v>104</v>
      </c>
      <c r="O18" s="6">
        <f>HYPERLINK("https://docs.wto.org/imrd/directdoc.asp?DDFDocuments/t/G/SPS/NAUS602.DOCX", "https://docs.wto.org/imrd/directdoc.asp?DDFDocuments/t/G/SPS/NAUS602.DOCX")</f>
      </c>
      <c r="P18" s="6">
        <f>HYPERLINK("https://docs.wto.org/imrd/directdoc.asp?DDFDocuments/u/G/SPS/NAUS602.DOCX", "https://docs.wto.org/imrd/directdoc.asp?DDFDocuments/u/G/SPS/NAUS602.DOCX")</f>
      </c>
      <c r="Q18" s="6">
        <f>HYPERLINK("https://docs.wto.org/imrd/directdoc.asp?DDFDocuments/v/G/SPS/NAUS602.DOCX", "https://docs.wto.org/imrd/directdoc.asp?DDFDocuments/v/G/SPS/NAUS602.DOCX")</f>
      </c>
    </row>
    <row r="19">
      <c r="A19" s="6" t="s">
        <v>105</v>
      </c>
      <c r="B19" s="7">
        <v>45552</v>
      </c>
      <c r="C19" s="6">
        <f>HYPERLINK("https://eping.wto.org/en/Search?viewData= G/TBT/N/CHE/289"," G/TBT/N/CHE/289")</f>
      </c>
      <c r="D19" s="8" t="s">
        <v>106</v>
      </c>
      <c r="E19" s="8" t="s">
        <v>107</v>
      </c>
      <c r="F19" s="8" t="s">
        <v>108</v>
      </c>
      <c r="G19" s="6" t="s">
        <v>40</v>
      </c>
      <c r="H19" s="6" t="s">
        <v>109</v>
      </c>
      <c r="I19" s="6" t="s">
        <v>110</v>
      </c>
      <c r="J19" s="6" t="s">
        <v>40</v>
      </c>
      <c r="K19" s="6"/>
      <c r="L19" s="7">
        <v>45612</v>
      </c>
      <c r="M19" s="6" t="s">
        <v>25</v>
      </c>
      <c r="N19" s="8" t="s">
        <v>111</v>
      </c>
      <c r="O19" s="6">
        <f>HYPERLINK("https://docs.wto.org/imrd/directdoc.asp?DDFDocuments/t/G/TBTN24/CHE289.DOCX", "https://docs.wto.org/imrd/directdoc.asp?DDFDocuments/t/G/TBTN24/CHE289.DOCX")</f>
      </c>
      <c r="P19" s="6">
        <f>HYPERLINK("https://docs.wto.org/imrd/directdoc.asp?DDFDocuments/u/G/TBTN24/CHE289.DOCX", "https://docs.wto.org/imrd/directdoc.asp?DDFDocuments/u/G/TBTN24/CHE289.DOCX")</f>
      </c>
      <c r="Q19" s="6">
        <f>HYPERLINK("https://docs.wto.org/imrd/directdoc.asp?DDFDocuments/v/G/TBTN24/CHE289.DOCX", "https://docs.wto.org/imrd/directdoc.asp?DDFDocuments/v/G/TBTN24/CHE289.DOCX")</f>
      </c>
    </row>
    <row r="20">
      <c r="A20" s="6" t="s">
        <v>17</v>
      </c>
      <c r="B20" s="7">
        <v>45552</v>
      </c>
      <c r="C20" s="6">
        <f>HYPERLINK("https://eping.wto.org/en/Search?viewData= G/SPS/N/KEN/304"," G/SPS/N/KEN/304")</f>
      </c>
      <c r="D20" s="8" t="s">
        <v>112</v>
      </c>
      <c r="E20" s="8" t="s">
        <v>113</v>
      </c>
      <c r="F20" s="8" t="s">
        <v>20</v>
      </c>
      <c r="G20" s="6" t="s">
        <v>40</v>
      </c>
      <c r="H20" s="6" t="s">
        <v>22</v>
      </c>
      <c r="I20" s="6" t="s">
        <v>38</v>
      </c>
      <c r="J20" s="6" t="s">
        <v>39</v>
      </c>
      <c r="K20" s="6" t="s">
        <v>40</v>
      </c>
      <c r="L20" s="7">
        <v>45612</v>
      </c>
      <c r="M20" s="6" t="s">
        <v>25</v>
      </c>
      <c r="N20" s="8" t="s">
        <v>114</v>
      </c>
      <c r="O20" s="6">
        <f>HYPERLINK("https://docs.wto.org/imrd/directdoc.asp?DDFDocuments/t/G/SPS/NKEN304.DOCX", "https://docs.wto.org/imrd/directdoc.asp?DDFDocuments/t/G/SPS/NKEN304.DOCX")</f>
      </c>
      <c r="P20" s="6">
        <f>HYPERLINK("https://docs.wto.org/imrd/directdoc.asp?DDFDocuments/u/G/SPS/NKEN304.DOCX", "https://docs.wto.org/imrd/directdoc.asp?DDFDocuments/u/G/SPS/NKEN304.DOCX")</f>
      </c>
      <c r="Q20" s="6">
        <f>HYPERLINK("https://docs.wto.org/imrd/directdoc.asp?DDFDocuments/v/G/SPS/NKEN304.DOCX", "https://docs.wto.org/imrd/directdoc.asp?DDFDocuments/v/G/SPS/NKEN304.DOCX")</f>
      </c>
    </row>
    <row r="21">
      <c r="A21" s="6" t="s">
        <v>115</v>
      </c>
      <c r="B21" s="7">
        <v>45551</v>
      </c>
      <c r="C21" s="6">
        <f>HYPERLINK("https://eping.wto.org/en/Search?viewData= G/TBT/N/BRA/1483/Add.2"," G/TBT/N/BRA/1483/Add.2")</f>
      </c>
      <c r="D21" s="8" t="s">
        <v>116</v>
      </c>
      <c r="E21" s="8" t="s">
        <v>117</v>
      </c>
      <c r="F21" s="8" t="s">
        <v>118</v>
      </c>
      <c r="G21" s="6" t="s">
        <v>119</v>
      </c>
      <c r="H21" s="6" t="s">
        <v>120</v>
      </c>
      <c r="I21" s="6" t="s">
        <v>121</v>
      </c>
      <c r="J21" s="6" t="s">
        <v>122</v>
      </c>
      <c r="K21" s="6"/>
      <c r="L21" s="7" t="s">
        <v>40</v>
      </c>
      <c r="M21" s="6" t="s">
        <v>76</v>
      </c>
      <c r="N21" s="8" t="s">
        <v>123</v>
      </c>
      <c r="O21" s="6">
        <f>HYPERLINK("https://docs.wto.org/imrd/directdoc.asp?DDFDocuments/t/G/TBTN23/BRA1483A2.DOCX", "https://docs.wto.org/imrd/directdoc.asp?DDFDocuments/t/G/TBTN23/BRA1483A2.DOCX")</f>
      </c>
      <c r="P21" s="6">
        <f>HYPERLINK("https://docs.wto.org/imrd/directdoc.asp?DDFDocuments/u/G/TBTN23/BRA1483A2.DOCX", "https://docs.wto.org/imrd/directdoc.asp?DDFDocuments/u/G/TBTN23/BRA1483A2.DOCX")</f>
      </c>
      <c r="Q21" s="6">
        <f>HYPERLINK("https://docs.wto.org/imrd/directdoc.asp?DDFDocuments/v/G/TBTN23/BRA1483A2.DOCX", "https://docs.wto.org/imrd/directdoc.asp?DDFDocuments/v/G/TBTN23/BRA1483A2.DOCX")</f>
      </c>
    </row>
    <row r="22">
      <c r="A22" s="6" t="s">
        <v>124</v>
      </c>
      <c r="B22" s="7">
        <v>45551</v>
      </c>
      <c r="C22" s="6">
        <f>HYPERLINK("https://eping.wto.org/en/Search?viewData= G/TBT/N/ARG/151/Add.22"," G/TBT/N/ARG/151/Add.22")</f>
      </c>
      <c r="D22" s="8" t="s">
        <v>125</v>
      </c>
      <c r="E22" s="8" t="s">
        <v>126</v>
      </c>
      <c r="F22" s="8" t="s">
        <v>127</v>
      </c>
      <c r="G22" s="6" t="s">
        <v>40</v>
      </c>
      <c r="H22" s="6" t="s">
        <v>128</v>
      </c>
      <c r="I22" s="6" t="s">
        <v>40</v>
      </c>
      <c r="J22" s="6" t="s">
        <v>40</v>
      </c>
      <c r="K22" s="6"/>
      <c r="L22" s="7" t="s">
        <v>40</v>
      </c>
      <c r="M22" s="6" t="s">
        <v>76</v>
      </c>
      <c r="N22" s="6"/>
      <c r="O22" s="6">
        <f>HYPERLINK("https://docs.wto.org/imrd/directdoc.asp?DDFDocuments/t/G/TBTN04/ARG151A22.DOCX", "https://docs.wto.org/imrd/directdoc.asp?DDFDocuments/t/G/TBTN04/ARG151A22.DOCX")</f>
      </c>
      <c r="P22" s="6">
        <f>HYPERLINK("https://docs.wto.org/imrd/directdoc.asp?DDFDocuments/u/G/TBTN04/ARG151A22.DOCX", "https://docs.wto.org/imrd/directdoc.asp?DDFDocuments/u/G/TBTN04/ARG151A22.DOCX")</f>
      </c>
      <c r="Q22" s="6">
        <f>HYPERLINK("https://docs.wto.org/imrd/directdoc.asp?DDFDocuments/v/G/TBTN04/ARG151A22.DOCX", "https://docs.wto.org/imrd/directdoc.asp?DDFDocuments/v/G/TBTN04/ARG151A22.DOCX")</f>
      </c>
    </row>
    <row r="23">
      <c r="A23" s="6" t="s">
        <v>129</v>
      </c>
      <c r="B23" s="7">
        <v>45551</v>
      </c>
      <c r="C23" s="6">
        <f>HYPERLINK("https://eping.wto.org/en/Search?viewData= G/TBT/N/IND/341"," G/TBT/N/IND/341")</f>
      </c>
      <c r="D23" s="8" t="s">
        <v>130</v>
      </c>
      <c r="E23" s="8" t="s">
        <v>130</v>
      </c>
      <c r="F23" s="8" t="s">
        <v>131</v>
      </c>
      <c r="G23" s="6" t="s">
        <v>132</v>
      </c>
      <c r="H23" s="6" t="s">
        <v>133</v>
      </c>
      <c r="I23" s="6" t="s">
        <v>134</v>
      </c>
      <c r="J23" s="6" t="s">
        <v>40</v>
      </c>
      <c r="K23" s="6"/>
      <c r="L23" s="7">
        <v>45611</v>
      </c>
      <c r="M23" s="6" t="s">
        <v>25</v>
      </c>
      <c r="N23" s="8" t="s">
        <v>135</v>
      </c>
      <c r="O23" s="6">
        <f>HYPERLINK("https://docs.wto.org/imrd/directdoc.asp?DDFDocuments/t/G/TBTN24/IND341.DOCX", "https://docs.wto.org/imrd/directdoc.asp?DDFDocuments/t/G/TBTN24/IND341.DOCX")</f>
      </c>
      <c r="P23" s="6">
        <f>HYPERLINK("https://docs.wto.org/imrd/directdoc.asp?DDFDocuments/u/G/TBTN24/IND341.DOCX", "https://docs.wto.org/imrd/directdoc.asp?DDFDocuments/u/G/TBTN24/IND341.DOCX")</f>
      </c>
      <c r="Q23" s="6">
        <f>HYPERLINK("https://docs.wto.org/imrd/directdoc.asp?DDFDocuments/v/G/TBTN24/IND341.DOCX", "https://docs.wto.org/imrd/directdoc.asp?DDFDocuments/v/G/TBTN24/IND341.DOCX")</f>
      </c>
    </row>
    <row r="24">
      <c r="A24" s="6" t="s">
        <v>136</v>
      </c>
      <c r="B24" s="7">
        <v>45551</v>
      </c>
      <c r="C24" s="6">
        <f>HYPERLINK("https://eping.wto.org/en/Search?viewData= G/TBT/N/PER/145/Add.1"," G/TBT/N/PER/145/Add.1")</f>
      </c>
      <c r="D24" s="8" t="s">
        <v>137</v>
      </c>
      <c r="E24" s="8" t="s">
        <v>138</v>
      </c>
      <c r="F24" s="8" t="s">
        <v>139</v>
      </c>
      <c r="G24" s="6" t="s">
        <v>140</v>
      </c>
      <c r="H24" s="6" t="s">
        <v>141</v>
      </c>
      <c r="I24" s="6" t="s">
        <v>142</v>
      </c>
      <c r="J24" s="6" t="s">
        <v>122</v>
      </c>
      <c r="K24" s="6"/>
      <c r="L24" s="7" t="s">
        <v>40</v>
      </c>
      <c r="M24" s="6" t="s">
        <v>76</v>
      </c>
      <c r="N24" s="8" t="s">
        <v>143</v>
      </c>
      <c r="O24" s="6">
        <f>HYPERLINK("https://docs.wto.org/imrd/directdoc.asp?DDFDocuments/t/G/TBTN22/PER145A1.DOCX", "https://docs.wto.org/imrd/directdoc.asp?DDFDocuments/t/G/TBTN22/PER145A1.DOCX")</f>
      </c>
      <c r="P24" s="6">
        <f>HYPERLINK("https://docs.wto.org/imrd/directdoc.asp?DDFDocuments/u/G/TBTN22/PER145A1.DOCX", "https://docs.wto.org/imrd/directdoc.asp?DDFDocuments/u/G/TBTN22/PER145A1.DOCX")</f>
      </c>
      <c r="Q24" s="6">
        <f>HYPERLINK("https://docs.wto.org/imrd/directdoc.asp?DDFDocuments/v/G/TBTN22/PER145A1.DOCX", "https://docs.wto.org/imrd/directdoc.asp?DDFDocuments/v/G/TBTN22/PER145A1.DOCX")</f>
      </c>
    </row>
    <row r="25">
      <c r="A25" s="6" t="s">
        <v>115</v>
      </c>
      <c r="B25" s="7">
        <v>45551</v>
      </c>
      <c r="C25" s="6">
        <f>HYPERLINK("https://eping.wto.org/en/Search?viewData= G/TBT/N/BRA/1087/Add.1"," G/TBT/N/BRA/1087/Add.1")</f>
      </c>
      <c r="D25" s="8" t="s">
        <v>144</v>
      </c>
      <c r="E25" s="8" t="s">
        <v>145</v>
      </c>
      <c r="F25" s="8" t="s">
        <v>146</v>
      </c>
      <c r="G25" s="6" t="s">
        <v>40</v>
      </c>
      <c r="H25" s="6" t="s">
        <v>40</v>
      </c>
      <c r="I25" s="6" t="s">
        <v>147</v>
      </c>
      <c r="J25" s="6" t="s">
        <v>148</v>
      </c>
      <c r="K25" s="6"/>
      <c r="L25" s="7" t="s">
        <v>40</v>
      </c>
      <c r="M25" s="6" t="s">
        <v>76</v>
      </c>
      <c r="N25" s="6"/>
      <c r="O25" s="6">
        <f>HYPERLINK("https://docs.wto.org/imrd/directdoc.asp?DDFDocuments/t/G/TBTN20/BRA1087A1.DOCX", "https://docs.wto.org/imrd/directdoc.asp?DDFDocuments/t/G/TBTN20/BRA1087A1.DOCX")</f>
      </c>
      <c r="P25" s="6">
        <f>HYPERLINK("https://docs.wto.org/imrd/directdoc.asp?DDFDocuments/u/G/TBTN20/BRA1087A1.DOCX", "https://docs.wto.org/imrd/directdoc.asp?DDFDocuments/u/G/TBTN20/BRA1087A1.DOCX")</f>
      </c>
      <c r="Q25" s="6">
        <f>HYPERLINK("https://docs.wto.org/imrd/directdoc.asp?DDFDocuments/v/G/TBTN20/BRA1087A1.DOCX", "https://docs.wto.org/imrd/directdoc.asp?DDFDocuments/v/G/TBTN20/BRA1087A1.DOCX")</f>
      </c>
    </row>
    <row r="26">
      <c r="A26" s="6" t="s">
        <v>115</v>
      </c>
      <c r="B26" s="7">
        <v>45551</v>
      </c>
      <c r="C26" s="6">
        <f>HYPERLINK("https://eping.wto.org/en/Search?viewData= G/TBT/N/BRA/1243/Add.1"," G/TBT/N/BRA/1243/Add.1")</f>
      </c>
      <c r="D26" s="8" t="s">
        <v>149</v>
      </c>
      <c r="E26" s="8" t="s">
        <v>150</v>
      </c>
      <c r="F26" s="8" t="s">
        <v>151</v>
      </c>
      <c r="G26" s="6" t="s">
        <v>152</v>
      </c>
      <c r="H26" s="6" t="s">
        <v>153</v>
      </c>
      <c r="I26" s="6" t="s">
        <v>147</v>
      </c>
      <c r="J26" s="6" t="s">
        <v>154</v>
      </c>
      <c r="K26" s="6"/>
      <c r="L26" s="7" t="s">
        <v>40</v>
      </c>
      <c r="M26" s="6" t="s">
        <v>76</v>
      </c>
      <c r="N26" s="6"/>
      <c r="O26" s="6">
        <f>HYPERLINK("https://docs.wto.org/imrd/directdoc.asp?DDFDocuments/t/G/TBTN21/BRA1243A1.DOCX", "https://docs.wto.org/imrd/directdoc.asp?DDFDocuments/t/G/TBTN21/BRA1243A1.DOCX")</f>
      </c>
      <c r="P26" s="6">
        <f>HYPERLINK("https://docs.wto.org/imrd/directdoc.asp?DDFDocuments/u/G/TBTN21/BRA1243A1.DOCX", "https://docs.wto.org/imrd/directdoc.asp?DDFDocuments/u/G/TBTN21/BRA1243A1.DOCX")</f>
      </c>
      <c r="Q26" s="6">
        <f>HYPERLINK("https://docs.wto.org/imrd/directdoc.asp?DDFDocuments/v/G/TBTN21/BRA1243A1.DOCX", "https://docs.wto.org/imrd/directdoc.asp?DDFDocuments/v/G/TBTN21/BRA1243A1.DOCX")</f>
      </c>
    </row>
    <row r="27">
      <c r="A27" s="6" t="s">
        <v>115</v>
      </c>
      <c r="B27" s="7">
        <v>45551</v>
      </c>
      <c r="C27" s="6">
        <f>HYPERLINK("https://eping.wto.org/en/Search?viewData= G/TBT/N/BRA/532/Add.1"," G/TBT/N/BRA/532/Add.1")</f>
      </c>
      <c r="D27" s="8" t="s">
        <v>155</v>
      </c>
      <c r="E27" s="8" t="s">
        <v>156</v>
      </c>
      <c r="F27" s="8" t="s">
        <v>157</v>
      </c>
      <c r="G27" s="6" t="s">
        <v>158</v>
      </c>
      <c r="H27" s="6" t="s">
        <v>159</v>
      </c>
      <c r="I27" s="6" t="s">
        <v>147</v>
      </c>
      <c r="J27" s="6" t="s">
        <v>154</v>
      </c>
      <c r="K27" s="6"/>
      <c r="L27" s="7" t="s">
        <v>40</v>
      </c>
      <c r="M27" s="6" t="s">
        <v>76</v>
      </c>
      <c r="N27" s="6"/>
      <c r="O27" s="6">
        <f>HYPERLINK("https://docs.wto.org/imrd/directdoc.asp?DDFDocuments/t/G/TBTN13/BRA532A1.DOCX", "https://docs.wto.org/imrd/directdoc.asp?DDFDocuments/t/G/TBTN13/BRA532A1.DOCX")</f>
      </c>
      <c r="P27" s="6">
        <f>HYPERLINK("https://docs.wto.org/imrd/directdoc.asp?DDFDocuments/u/G/TBTN13/BRA532A1.DOCX", "https://docs.wto.org/imrd/directdoc.asp?DDFDocuments/u/G/TBTN13/BRA532A1.DOCX")</f>
      </c>
      <c r="Q27" s="6">
        <f>HYPERLINK("https://docs.wto.org/imrd/directdoc.asp?DDFDocuments/v/G/TBTN13/BRA532A1.DOCX", "https://docs.wto.org/imrd/directdoc.asp?DDFDocuments/v/G/TBTN13/BRA532A1.DOCX")</f>
      </c>
    </row>
    <row r="28">
      <c r="A28" s="6" t="s">
        <v>160</v>
      </c>
      <c r="B28" s="7">
        <v>45551</v>
      </c>
      <c r="C28" s="6">
        <f>HYPERLINK("https://eping.wto.org/en/Search?viewData= G/TBT/N/USA/1735/Add.4"," G/TBT/N/USA/1735/Add.4")</f>
      </c>
      <c r="D28" s="8" t="s">
        <v>161</v>
      </c>
      <c r="E28" s="8" t="s">
        <v>162</v>
      </c>
      <c r="F28" s="8" t="s">
        <v>163</v>
      </c>
      <c r="G28" s="6" t="s">
        <v>40</v>
      </c>
      <c r="H28" s="6" t="s">
        <v>164</v>
      </c>
      <c r="I28" s="6" t="s">
        <v>165</v>
      </c>
      <c r="J28" s="6" t="s">
        <v>40</v>
      </c>
      <c r="K28" s="6"/>
      <c r="L28" s="7" t="s">
        <v>40</v>
      </c>
      <c r="M28" s="6" t="s">
        <v>76</v>
      </c>
      <c r="N28" s="8" t="s">
        <v>166</v>
      </c>
      <c r="O28" s="6">
        <f>HYPERLINK("https://docs.wto.org/imrd/directdoc.asp?DDFDocuments/t/G/TBTN21/USA1735A4.DOCX", "https://docs.wto.org/imrd/directdoc.asp?DDFDocuments/t/G/TBTN21/USA1735A4.DOCX")</f>
      </c>
      <c r="P28" s="6">
        <f>HYPERLINK("https://docs.wto.org/imrd/directdoc.asp?DDFDocuments/u/G/TBTN21/USA1735A4.DOCX", "https://docs.wto.org/imrd/directdoc.asp?DDFDocuments/u/G/TBTN21/USA1735A4.DOCX")</f>
      </c>
      <c r="Q28" s="6">
        <f>HYPERLINK("https://docs.wto.org/imrd/directdoc.asp?DDFDocuments/v/G/TBTN21/USA1735A4.DOCX", "https://docs.wto.org/imrd/directdoc.asp?DDFDocuments/v/G/TBTN21/USA1735A4.DOCX")</f>
      </c>
    </row>
    <row r="29">
      <c r="A29" s="6" t="s">
        <v>167</v>
      </c>
      <c r="B29" s="7">
        <v>45551</v>
      </c>
      <c r="C29" s="6">
        <f>HYPERLINK("https://eping.wto.org/en/Search?viewData= G/SPS/N/TUR/101/Add.2"," G/SPS/N/TUR/101/Add.2")</f>
      </c>
      <c r="D29" s="8" t="s">
        <v>168</v>
      </c>
      <c r="E29" s="8" t="s">
        <v>169</v>
      </c>
      <c r="F29" s="8" t="s">
        <v>170</v>
      </c>
      <c r="G29" s="6" t="s">
        <v>171</v>
      </c>
      <c r="H29" s="6" t="s">
        <v>40</v>
      </c>
      <c r="I29" s="6" t="s">
        <v>38</v>
      </c>
      <c r="J29" s="6" t="s">
        <v>172</v>
      </c>
      <c r="K29" s="6"/>
      <c r="L29" s="7">
        <v>45608</v>
      </c>
      <c r="M29" s="6" t="s">
        <v>76</v>
      </c>
      <c r="N29" s="8" t="s">
        <v>173</v>
      </c>
      <c r="O29" s="6">
        <f>HYPERLINK("https://docs.wto.org/imrd/directdoc.asp?DDFDocuments/t/G/SPS/NTUR101A2.DOCX", "https://docs.wto.org/imrd/directdoc.asp?DDFDocuments/t/G/SPS/NTUR101A2.DOCX")</f>
      </c>
      <c r="P29" s="6">
        <f>HYPERLINK("https://docs.wto.org/imrd/directdoc.asp?DDFDocuments/u/G/SPS/NTUR101A2.DOCX", "https://docs.wto.org/imrd/directdoc.asp?DDFDocuments/u/G/SPS/NTUR101A2.DOCX")</f>
      </c>
      <c r="Q29" s="6">
        <f>HYPERLINK("https://docs.wto.org/imrd/directdoc.asp?DDFDocuments/v/G/SPS/NTUR101A2.DOCX", "https://docs.wto.org/imrd/directdoc.asp?DDFDocuments/v/G/SPS/NTUR101A2.DOCX")</f>
      </c>
    </row>
    <row r="30">
      <c r="A30" s="6" t="s">
        <v>129</v>
      </c>
      <c r="B30" s="7">
        <v>45551</v>
      </c>
      <c r="C30" s="6">
        <f>HYPERLINK("https://eping.wto.org/en/Search?viewData= G/TBT/N/IND/343"," G/TBT/N/IND/343")</f>
      </c>
      <c r="D30" s="8" t="s">
        <v>174</v>
      </c>
      <c r="E30" s="8" t="s">
        <v>175</v>
      </c>
      <c r="F30" s="8" t="s">
        <v>176</v>
      </c>
      <c r="G30" s="6" t="s">
        <v>40</v>
      </c>
      <c r="H30" s="6" t="s">
        <v>177</v>
      </c>
      <c r="I30" s="6" t="s">
        <v>142</v>
      </c>
      <c r="J30" s="6" t="s">
        <v>178</v>
      </c>
      <c r="K30" s="6"/>
      <c r="L30" s="7">
        <v>45611</v>
      </c>
      <c r="M30" s="6" t="s">
        <v>25</v>
      </c>
      <c r="N30" s="8" t="s">
        <v>179</v>
      </c>
      <c r="O30" s="6">
        <f>HYPERLINK("https://docs.wto.org/imrd/directdoc.asp?DDFDocuments/t/G/TBTN24/IND343.DOCX", "https://docs.wto.org/imrd/directdoc.asp?DDFDocuments/t/G/TBTN24/IND343.DOCX")</f>
      </c>
      <c r="P30" s="6">
        <f>HYPERLINK("https://docs.wto.org/imrd/directdoc.asp?DDFDocuments/u/G/TBTN24/IND343.DOCX", "https://docs.wto.org/imrd/directdoc.asp?DDFDocuments/u/G/TBTN24/IND343.DOCX")</f>
      </c>
      <c r="Q30" s="6">
        <f>HYPERLINK("https://docs.wto.org/imrd/directdoc.asp?DDFDocuments/v/G/TBTN24/IND343.DOCX", "https://docs.wto.org/imrd/directdoc.asp?DDFDocuments/v/G/TBTN24/IND343.DOCX")</f>
      </c>
    </row>
    <row r="31">
      <c r="A31" s="6" t="s">
        <v>180</v>
      </c>
      <c r="B31" s="7">
        <v>45551</v>
      </c>
      <c r="C31" s="6">
        <f>HYPERLINK("https://eping.wto.org/en/Search?viewData= G/SPS/N/CRI/257/Add.2"," G/SPS/N/CRI/257/Add.2")</f>
      </c>
      <c r="D31" s="8" t="s">
        <v>181</v>
      </c>
      <c r="E31" s="8" t="s">
        <v>181</v>
      </c>
      <c r="F31" s="8" t="s">
        <v>182</v>
      </c>
      <c r="G31" s="6" t="s">
        <v>183</v>
      </c>
      <c r="H31" s="6" t="s">
        <v>40</v>
      </c>
      <c r="I31" s="6" t="s">
        <v>184</v>
      </c>
      <c r="J31" s="6" t="s">
        <v>185</v>
      </c>
      <c r="K31" s="6"/>
      <c r="L31" s="7" t="s">
        <v>40</v>
      </c>
      <c r="M31" s="6" t="s">
        <v>76</v>
      </c>
      <c r="N31" s="8" t="s">
        <v>186</v>
      </c>
      <c r="O31" s="6">
        <f>HYPERLINK("https://docs.wto.org/imrd/directdoc.asp?DDFDocuments/t/G/SPS/NCRI257A2.DOCX", "https://docs.wto.org/imrd/directdoc.asp?DDFDocuments/t/G/SPS/NCRI257A2.DOCX")</f>
      </c>
      <c r="P31" s="6">
        <f>HYPERLINK("https://docs.wto.org/imrd/directdoc.asp?DDFDocuments/u/G/SPS/NCRI257A2.DOCX", "https://docs.wto.org/imrd/directdoc.asp?DDFDocuments/u/G/SPS/NCRI257A2.DOCX")</f>
      </c>
      <c r="Q31" s="6">
        <f>HYPERLINK("https://docs.wto.org/imrd/directdoc.asp?DDFDocuments/v/G/SPS/NCRI257A2.DOCX", "https://docs.wto.org/imrd/directdoc.asp?DDFDocuments/v/G/SPS/NCRI257A2.DOCX")</f>
      </c>
    </row>
    <row r="32">
      <c r="A32" s="6" t="s">
        <v>115</v>
      </c>
      <c r="B32" s="7">
        <v>45551</v>
      </c>
      <c r="C32" s="6">
        <f>HYPERLINK("https://eping.wto.org/en/Search?viewData= G/TBT/N/BRA/982/Add.3"," G/TBT/N/BRA/982/Add.3")</f>
      </c>
      <c r="D32" s="8" t="s">
        <v>187</v>
      </c>
      <c r="E32" s="8" t="s">
        <v>188</v>
      </c>
      <c r="F32" s="8" t="s">
        <v>189</v>
      </c>
      <c r="G32" s="6" t="s">
        <v>40</v>
      </c>
      <c r="H32" s="6" t="s">
        <v>190</v>
      </c>
      <c r="I32" s="6" t="s">
        <v>191</v>
      </c>
      <c r="J32" s="6" t="s">
        <v>40</v>
      </c>
      <c r="K32" s="6"/>
      <c r="L32" s="7">
        <v>45593</v>
      </c>
      <c r="M32" s="6" t="s">
        <v>76</v>
      </c>
      <c r="N32" s="8" t="s">
        <v>192</v>
      </c>
      <c r="O32" s="6">
        <f>HYPERLINK("https://docs.wto.org/imrd/directdoc.asp?DDFDocuments/t/G/TBTN20/BRA982A3.DOCX", "https://docs.wto.org/imrd/directdoc.asp?DDFDocuments/t/G/TBTN20/BRA982A3.DOCX")</f>
      </c>
      <c r="P32" s="6">
        <f>HYPERLINK("https://docs.wto.org/imrd/directdoc.asp?DDFDocuments/u/G/TBTN20/BRA982A3.DOCX", "https://docs.wto.org/imrd/directdoc.asp?DDFDocuments/u/G/TBTN20/BRA982A3.DOCX")</f>
      </c>
      <c r="Q32" s="6">
        <f>HYPERLINK("https://docs.wto.org/imrd/directdoc.asp?DDFDocuments/v/G/TBTN20/BRA982A3.DOCX", "https://docs.wto.org/imrd/directdoc.asp?DDFDocuments/v/G/TBTN20/BRA982A3.DOCX")</f>
      </c>
    </row>
    <row r="33">
      <c r="A33" s="6" t="s">
        <v>129</v>
      </c>
      <c r="B33" s="7">
        <v>45551</v>
      </c>
      <c r="C33" s="6">
        <f>HYPERLINK("https://eping.wto.org/en/Search?viewData= G/TBT/N/IND/340"," G/TBT/N/IND/340")</f>
      </c>
      <c r="D33" s="8" t="s">
        <v>193</v>
      </c>
      <c r="E33" s="8" t="s">
        <v>193</v>
      </c>
      <c r="F33" s="8" t="s">
        <v>194</v>
      </c>
      <c r="G33" s="6" t="s">
        <v>195</v>
      </c>
      <c r="H33" s="6" t="s">
        <v>196</v>
      </c>
      <c r="I33" s="6" t="s">
        <v>134</v>
      </c>
      <c r="J33" s="6" t="s">
        <v>40</v>
      </c>
      <c r="K33" s="6"/>
      <c r="L33" s="7">
        <v>45611</v>
      </c>
      <c r="M33" s="6" t="s">
        <v>25</v>
      </c>
      <c r="N33" s="8" t="s">
        <v>197</v>
      </c>
      <c r="O33" s="6">
        <f>HYPERLINK("https://docs.wto.org/imrd/directdoc.asp?DDFDocuments/t/G/TBTN24/IND340.DOCX", "https://docs.wto.org/imrd/directdoc.asp?DDFDocuments/t/G/TBTN24/IND340.DOCX")</f>
      </c>
      <c r="P33" s="6">
        <f>HYPERLINK("https://docs.wto.org/imrd/directdoc.asp?DDFDocuments/u/G/TBTN24/IND340.DOCX", "https://docs.wto.org/imrd/directdoc.asp?DDFDocuments/u/G/TBTN24/IND340.DOCX")</f>
      </c>
      <c r="Q33" s="6">
        <f>HYPERLINK("https://docs.wto.org/imrd/directdoc.asp?DDFDocuments/v/G/TBTN24/IND340.DOCX", "https://docs.wto.org/imrd/directdoc.asp?DDFDocuments/v/G/TBTN24/IND340.DOCX")</f>
      </c>
    </row>
    <row r="34">
      <c r="A34" s="6" t="s">
        <v>198</v>
      </c>
      <c r="B34" s="7">
        <v>45551</v>
      </c>
      <c r="C34" s="6">
        <f>HYPERLINK("https://eping.wto.org/en/Search?viewData= G/TBT/N/CHL/703"," G/TBT/N/CHL/703")</f>
      </c>
      <c r="D34" s="8" t="s">
        <v>199</v>
      </c>
      <c r="E34" s="8" t="s">
        <v>200</v>
      </c>
      <c r="F34" s="8" t="s">
        <v>201</v>
      </c>
      <c r="G34" s="6" t="s">
        <v>40</v>
      </c>
      <c r="H34" s="6" t="s">
        <v>202</v>
      </c>
      <c r="I34" s="6" t="s">
        <v>165</v>
      </c>
      <c r="J34" s="6" t="s">
        <v>40</v>
      </c>
      <c r="K34" s="6"/>
      <c r="L34" s="7">
        <v>45591</v>
      </c>
      <c r="M34" s="6" t="s">
        <v>25</v>
      </c>
      <c r="N34" s="8" t="s">
        <v>203</v>
      </c>
      <c r="O34" s="6">
        <f>HYPERLINK("https://docs.wto.org/imrd/directdoc.asp?DDFDocuments/t/G/TBTN24/CHL703.DOCX", "https://docs.wto.org/imrd/directdoc.asp?DDFDocuments/t/G/TBTN24/CHL703.DOCX")</f>
      </c>
      <c r="P34" s="6">
        <f>HYPERLINK("https://docs.wto.org/imrd/directdoc.asp?DDFDocuments/u/G/TBTN24/CHL703.DOCX", "https://docs.wto.org/imrd/directdoc.asp?DDFDocuments/u/G/TBTN24/CHL703.DOCX")</f>
      </c>
      <c r="Q34" s="6">
        <f>HYPERLINK("https://docs.wto.org/imrd/directdoc.asp?DDFDocuments/v/G/TBTN24/CHL703.DOCX", "https://docs.wto.org/imrd/directdoc.asp?DDFDocuments/v/G/TBTN24/CHL703.DOCX")</f>
      </c>
    </row>
    <row r="35">
      <c r="A35" s="6" t="s">
        <v>115</v>
      </c>
      <c r="B35" s="7">
        <v>45551</v>
      </c>
      <c r="C35" s="6">
        <f>HYPERLINK("https://eping.wto.org/en/Search?viewData= G/TBT/N/BRA/1341/Add.2"," G/TBT/N/BRA/1341/Add.2")</f>
      </c>
      <c r="D35" s="8" t="s">
        <v>204</v>
      </c>
      <c r="E35" s="8" t="s">
        <v>205</v>
      </c>
      <c r="F35" s="8" t="s">
        <v>206</v>
      </c>
      <c r="G35" s="6" t="s">
        <v>207</v>
      </c>
      <c r="H35" s="6" t="s">
        <v>208</v>
      </c>
      <c r="I35" s="6" t="s">
        <v>147</v>
      </c>
      <c r="J35" s="6" t="s">
        <v>154</v>
      </c>
      <c r="K35" s="6"/>
      <c r="L35" s="7" t="s">
        <v>40</v>
      </c>
      <c r="M35" s="6" t="s">
        <v>76</v>
      </c>
      <c r="N35" s="6"/>
      <c r="O35" s="6">
        <f>HYPERLINK("https://docs.wto.org/imrd/directdoc.asp?DDFDocuments/t/G/TBTN22/BRA1341A2.DOCX", "https://docs.wto.org/imrd/directdoc.asp?DDFDocuments/t/G/TBTN22/BRA1341A2.DOCX")</f>
      </c>
      <c r="P35" s="6">
        <f>HYPERLINK("https://docs.wto.org/imrd/directdoc.asp?DDFDocuments/u/G/TBTN22/BRA1341A2.DOCX", "https://docs.wto.org/imrd/directdoc.asp?DDFDocuments/u/G/TBTN22/BRA1341A2.DOCX")</f>
      </c>
      <c r="Q35" s="6">
        <f>HYPERLINK("https://docs.wto.org/imrd/directdoc.asp?DDFDocuments/v/G/TBTN22/BRA1341A2.DOCX", "https://docs.wto.org/imrd/directdoc.asp?DDFDocuments/v/G/TBTN22/BRA1341A2.DOCX")</f>
      </c>
    </row>
    <row r="36">
      <c r="A36" s="6" t="s">
        <v>70</v>
      </c>
      <c r="B36" s="7">
        <v>45551</v>
      </c>
      <c r="C36" s="6">
        <f>HYPERLINK("https://eping.wto.org/en/Search?viewData= G/TBT/N/UKR/274/Rev.1"," G/TBT/N/UKR/274/Rev.1")</f>
      </c>
      <c r="D36" s="8" t="s">
        <v>209</v>
      </c>
      <c r="E36" s="8" t="s">
        <v>210</v>
      </c>
      <c r="F36" s="8" t="s">
        <v>211</v>
      </c>
      <c r="G36" s="6" t="s">
        <v>40</v>
      </c>
      <c r="H36" s="6" t="s">
        <v>212</v>
      </c>
      <c r="I36" s="6" t="s">
        <v>213</v>
      </c>
      <c r="J36" s="6" t="s">
        <v>40</v>
      </c>
      <c r="K36" s="6"/>
      <c r="L36" s="7">
        <v>45611</v>
      </c>
      <c r="M36" s="6" t="s">
        <v>214</v>
      </c>
      <c r="N36" s="8" t="s">
        <v>215</v>
      </c>
      <c r="O36" s="6">
        <f>HYPERLINK("https://docs.wto.org/imrd/directdoc.asp?DDFDocuments/t/G/TBTN23/UKR274R1.DOCX", "https://docs.wto.org/imrd/directdoc.asp?DDFDocuments/t/G/TBTN23/UKR274R1.DOCX")</f>
      </c>
      <c r="P36" s="6">
        <f>HYPERLINK("https://docs.wto.org/imrd/directdoc.asp?DDFDocuments/u/G/TBTN23/UKR274R1.DOCX", "https://docs.wto.org/imrd/directdoc.asp?DDFDocuments/u/G/TBTN23/UKR274R1.DOCX")</f>
      </c>
      <c r="Q36" s="6">
        <f>HYPERLINK("https://docs.wto.org/imrd/directdoc.asp?DDFDocuments/v/G/TBTN23/UKR274R1.DOCX", "https://docs.wto.org/imrd/directdoc.asp?DDFDocuments/v/G/TBTN23/UKR274R1.DOCX")</f>
      </c>
    </row>
    <row r="37">
      <c r="A37" s="6" t="s">
        <v>129</v>
      </c>
      <c r="B37" s="7">
        <v>45551</v>
      </c>
      <c r="C37" s="6">
        <f>HYPERLINK("https://eping.wto.org/en/Search?viewData= G/TBT/N/IND/342"," G/TBT/N/IND/342")</f>
      </c>
      <c r="D37" s="8" t="s">
        <v>216</v>
      </c>
      <c r="E37" s="8" t="s">
        <v>216</v>
      </c>
      <c r="F37" s="8" t="s">
        <v>217</v>
      </c>
      <c r="G37" s="6" t="s">
        <v>218</v>
      </c>
      <c r="H37" s="6" t="s">
        <v>133</v>
      </c>
      <c r="I37" s="6" t="s">
        <v>134</v>
      </c>
      <c r="J37" s="6" t="s">
        <v>40</v>
      </c>
      <c r="K37" s="6"/>
      <c r="L37" s="7">
        <v>45611</v>
      </c>
      <c r="M37" s="6" t="s">
        <v>25</v>
      </c>
      <c r="N37" s="8" t="s">
        <v>219</v>
      </c>
      <c r="O37" s="6">
        <f>HYPERLINK("https://docs.wto.org/imrd/directdoc.asp?DDFDocuments/t/G/TBTN24/IND342.DOCX", "https://docs.wto.org/imrd/directdoc.asp?DDFDocuments/t/G/TBTN24/IND342.DOCX")</f>
      </c>
      <c r="P37" s="6">
        <f>HYPERLINK("https://docs.wto.org/imrd/directdoc.asp?DDFDocuments/u/G/TBTN24/IND342.DOCX", "https://docs.wto.org/imrd/directdoc.asp?DDFDocuments/u/G/TBTN24/IND342.DOCX")</f>
      </c>
      <c r="Q37" s="6">
        <f>HYPERLINK("https://docs.wto.org/imrd/directdoc.asp?DDFDocuments/v/G/TBTN24/IND342.DOCX", "https://docs.wto.org/imrd/directdoc.asp?DDFDocuments/v/G/TBTN24/IND342.DOCX")</f>
      </c>
    </row>
    <row r="38">
      <c r="A38" s="6" t="s">
        <v>160</v>
      </c>
      <c r="B38" s="7">
        <v>45551</v>
      </c>
      <c r="C38" s="6">
        <f>HYPERLINK("https://eping.wto.org/en/Search?viewData= G/TBT/N/USA/1995/Add.2/Corr.3"," G/TBT/N/USA/1995/Add.2/Corr.3")</f>
      </c>
      <c r="D38" s="8" t="s">
        <v>220</v>
      </c>
      <c r="E38" s="8" t="s">
        <v>221</v>
      </c>
      <c r="F38" s="8" t="s">
        <v>222</v>
      </c>
      <c r="G38" s="6" t="s">
        <v>40</v>
      </c>
      <c r="H38" s="6" t="s">
        <v>223</v>
      </c>
      <c r="I38" s="6" t="s">
        <v>165</v>
      </c>
      <c r="J38" s="6" t="s">
        <v>40</v>
      </c>
      <c r="K38" s="6"/>
      <c r="L38" s="7" t="s">
        <v>40</v>
      </c>
      <c r="M38" s="6" t="s">
        <v>224</v>
      </c>
      <c r="N38" s="8" t="s">
        <v>225</v>
      </c>
      <c r="O38" s="6">
        <f>HYPERLINK("https://docs.wto.org/imrd/directdoc.asp?DDFDocuments/t/G/TBTN23/USA1995A2C3.DOCX", "https://docs.wto.org/imrd/directdoc.asp?DDFDocuments/t/G/TBTN23/USA1995A2C3.DOCX")</f>
      </c>
      <c r="P38" s="6">
        <f>HYPERLINK("https://docs.wto.org/imrd/directdoc.asp?DDFDocuments/u/G/TBTN23/USA1995A2C3.DOCX", "https://docs.wto.org/imrd/directdoc.asp?DDFDocuments/u/G/TBTN23/USA1995A2C3.DOCX")</f>
      </c>
      <c r="Q38" s="6">
        <f>HYPERLINK("https://docs.wto.org/imrd/directdoc.asp?DDFDocuments/v/G/TBTN23/USA1995A2C3.DOCX", "https://docs.wto.org/imrd/directdoc.asp?DDFDocuments/v/G/TBTN23/USA1995A2C3.DOCX")</f>
      </c>
    </row>
    <row r="39">
      <c r="A39" s="6" t="s">
        <v>160</v>
      </c>
      <c r="B39" s="7">
        <v>45551</v>
      </c>
      <c r="C39" s="6">
        <f>HYPERLINK("https://eping.wto.org/en/Search?viewData= G/TBT/N/USA/2148"," G/TBT/N/USA/2148")</f>
      </c>
      <c r="D39" s="8" t="s">
        <v>226</v>
      </c>
      <c r="E39" s="8" t="s">
        <v>227</v>
      </c>
      <c r="F39" s="8" t="s">
        <v>228</v>
      </c>
      <c r="G39" s="6" t="s">
        <v>40</v>
      </c>
      <c r="H39" s="6" t="s">
        <v>229</v>
      </c>
      <c r="I39" s="6" t="s">
        <v>213</v>
      </c>
      <c r="J39" s="6" t="s">
        <v>40</v>
      </c>
      <c r="K39" s="6"/>
      <c r="L39" s="7">
        <v>45600</v>
      </c>
      <c r="M39" s="6" t="s">
        <v>25</v>
      </c>
      <c r="N39" s="8" t="s">
        <v>230</v>
      </c>
      <c r="O39" s="6">
        <f>HYPERLINK("https://docs.wto.org/imrd/directdoc.asp?DDFDocuments/t/G/TBTN24/USA2148.DOCX", "https://docs.wto.org/imrd/directdoc.asp?DDFDocuments/t/G/TBTN24/USA2148.DOCX")</f>
      </c>
      <c r="P39" s="6">
        <f>HYPERLINK("https://docs.wto.org/imrd/directdoc.asp?DDFDocuments/u/G/TBTN24/USA2148.DOCX", "https://docs.wto.org/imrd/directdoc.asp?DDFDocuments/u/G/TBTN24/USA2148.DOCX")</f>
      </c>
      <c r="Q39" s="6">
        <f>HYPERLINK("https://docs.wto.org/imrd/directdoc.asp?DDFDocuments/v/G/TBTN24/USA2148.DOCX", "https://docs.wto.org/imrd/directdoc.asp?DDFDocuments/v/G/TBTN24/USA2148.DOCX")</f>
      </c>
    </row>
    <row r="40">
      <c r="A40" s="6" t="s">
        <v>115</v>
      </c>
      <c r="B40" s="7">
        <v>45551</v>
      </c>
      <c r="C40" s="6">
        <f>HYPERLINK("https://eping.wto.org/en/Search?viewData= G/SPS/N/BRA/2331"," G/SPS/N/BRA/2331")</f>
      </c>
      <c r="D40" s="8" t="s">
        <v>231</v>
      </c>
      <c r="E40" s="8" t="s">
        <v>232</v>
      </c>
      <c r="F40" s="8" t="s">
        <v>233</v>
      </c>
      <c r="G40" s="6" t="s">
        <v>40</v>
      </c>
      <c r="H40" s="6" t="s">
        <v>234</v>
      </c>
      <c r="I40" s="6" t="s">
        <v>38</v>
      </c>
      <c r="J40" s="6" t="s">
        <v>60</v>
      </c>
      <c r="K40" s="6"/>
      <c r="L40" s="7">
        <v>45605</v>
      </c>
      <c r="M40" s="6" t="s">
        <v>25</v>
      </c>
      <c r="N40" s="8" t="s">
        <v>235</v>
      </c>
      <c r="O40" s="6">
        <f>HYPERLINK("https://docs.wto.org/imrd/directdoc.asp?DDFDocuments/t/G/SPS/NBRA2331.DOCX", "https://docs.wto.org/imrd/directdoc.asp?DDFDocuments/t/G/SPS/NBRA2331.DOCX")</f>
      </c>
      <c r="P40" s="6">
        <f>HYPERLINK("https://docs.wto.org/imrd/directdoc.asp?DDFDocuments/u/G/SPS/NBRA2331.DOCX", "https://docs.wto.org/imrd/directdoc.asp?DDFDocuments/u/G/SPS/NBRA2331.DOCX")</f>
      </c>
      <c r="Q40" s="6">
        <f>HYPERLINK("https://docs.wto.org/imrd/directdoc.asp?DDFDocuments/v/G/SPS/NBRA2331.DOCX", "https://docs.wto.org/imrd/directdoc.asp?DDFDocuments/v/G/SPS/NBRA2331.DOCX")</f>
      </c>
    </row>
    <row r="41">
      <c r="A41" s="6" t="s">
        <v>160</v>
      </c>
      <c r="B41" s="7">
        <v>45551</v>
      </c>
      <c r="C41" s="6">
        <f>HYPERLINK("https://eping.wto.org/en/Search?viewData= G/TBT/N/USA/1938/Add.2"," G/TBT/N/USA/1938/Add.2")</f>
      </c>
      <c r="D41" s="8" t="s">
        <v>161</v>
      </c>
      <c r="E41" s="8" t="s">
        <v>236</v>
      </c>
      <c r="F41" s="8" t="s">
        <v>237</v>
      </c>
      <c r="G41" s="6" t="s">
        <v>40</v>
      </c>
      <c r="H41" s="6" t="s">
        <v>164</v>
      </c>
      <c r="I41" s="6" t="s">
        <v>165</v>
      </c>
      <c r="J41" s="6" t="s">
        <v>40</v>
      </c>
      <c r="K41" s="6"/>
      <c r="L41" s="7" t="s">
        <v>40</v>
      </c>
      <c r="M41" s="6" t="s">
        <v>76</v>
      </c>
      <c r="N41" s="8" t="s">
        <v>238</v>
      </c>
      <c r="O41" s="6">
        <f>HYPERLINK("https://docs.wto.org/imrd/directdoc.asp?DDFDocuments/t/G/TBTN22/USA1938A2.DOCX", "https://docs.wto.org/imrd/directdoc.asp?DDFDocuments/t/G/TBTN22/USA1938A2.DOCX")</f>
      </c>
      <c r="P41" s="6">
        <f>HYPERLINK("https://docs.wto.org/imrd/directdoc.asp?DDFDocuments/u/G/TBTN22/USA1938A2.DOCX", "https://docs.wto.org/imrd/directdoc.asp?DDFDocuments/u/G/TBTN22/USA1938A2.DOCX")</f>
      </c>
      <c r="Q41" s="6">
        <f>HYPERLINK("https://docs.wto.org/imrd/directdoc.asp?DDFDocuments/v/G/TBTN22/USA1938A2.DOCX", "https://docs.wto.org/imrd/directdoc.asp?DDFDocuments/v/G/TBTN22/USA1938A2.DOCX")</f>
      </c>
    </row>
    <row r="42">
      <c r="A42" s="6" t="s">
        <v>239</v>
      </c>
      <c r="B42" s="7">
        <v>45551</v>
      </c>
      <c r="C42" s="6">
        <f>HYPERLINK("https://eping.wto.org/en/Search?viewData= G/TBT/N/VNM/314"," G/TBT/N/VNM/314")</f>
      </c>
      <c r="D42" s="8" t="s">
        <v>240</v>
      </c>
      <c r="E42" s="8" t="s">
        <v>241</v>
      </c>
      <c r="F42" s="8" t="s">
        <v>242</v>
      </c>
      <c r="G42" s="6" t="s">
        <v>243</v>
      </c>
      <c r="H42" s="6" t="s">
        <v>244</v>
      </c>
      <c r="I42" s="6" t="s">
        <v>245</v>
      </c>
      <c r="J42" s="6" t="s">
        <v>40</v>
      </c>
      <c r="K42" s="6"/>
      <c r="L42" s="7">
        <v>45611</v>
      </c>
      <c r="M42" s="6" t="s">
        <v>25</v>
      </c>
      <c r="N42" s="8" t="s">
        <v>246</v>
      </c>
      <c r="O42" s="6">
        <f>HYPERLINK("https://docs.wto.org/imrd/directdoc.asp?DDFDocuments/t/G/TBTN24/VNM314.DOCX", "https://docs.wto.org/imrd/directdoc.asp?DDFDocuments/t/G/TBTN24/VNM314.DOCX")</f>
      </c>
      <c r="P42" s="6">
        <f>HYPERLINK("https://docs.wto.org/imrd/directdoc.asp?DDFDocuments/u/G/TBTN24/VNM314.DOCX", "https://docs.wto.org/imrd/directdoc.asp?DDFDocuments/u/G/TBTN24/VNM314.DOCX")</f>
      </c>
      <c r="Q42" s="6">
        <f>HYPERLINK("https://docs.wto.org/imrd/directdoc.asp?DDFDocuments/v/G/TBTN24/VNM314.DOCX", "https://docs.wto.org/imrd/directdoc.asp?DDFDocuments/v/G/TBTN24/VNM314.DOCX")</f>
      </c>
    </row>
    <row r="43">
      <c r="A43" s="6" t="s">
        <v>89</v>
      </c>
      <c r="B43" s="7">
        <v>45551</v>
      </c>
      <c r="C43" s="6">
        <f>HYPERLINK("https://eping.wto.org/en/Search?viewData= G/TBT/N/ECU/505/Add.3"," G/TBT/N/ECU/505/Add.3")</f>
      </c>
      <c r="D43" s="8" t="s">
        <v>247</v>
      </c>
      <c r="E43" s="8" t="s">
        <v>248</v>
      </c>
      <c r="F43" s="8" t="s">
        <v>249</v>
      </c>
      <c r="G43" s="6" t="s">
        <v>40</v>
      </c>
      <c r="H43" s="6" t="s">
        <v>250</v>
      </c>
      <c r="I43" s="6" t="s">
        <v>94</v>
      </c>
      <c r="J43" s="6" t="s">
        <v>122</v>
      </c>
      <c r="K43" s="6"/>
      <c r="L43" s="7" t="s">
        <v>40</v>
      </c>
      <c r="M43" s="6" t="s">
        <v>76</v>
      </c>
      <c r="N43" s="8" t="s">
        <v>251</v>
      </c>
      <c r="O43" s="6">
        <f>HYPERLINK("https://docs.wto.org/imrd/directdoc.asp?DDFDocuments/t/G/TBTN21/ECU505A3.DOCX", "https://docs.wto.org/imrd/directdoc.asp?DDFDocuments/t/G/TBTN21/ECU505A3.DOCX")</f>
      </c>
      <c r="P43" s="6">
        <f>HYPERLINK("https://docs.wto.org/imrd/directdoc.asp?DDFDocuments/u/G/TBTN21/ECU505A3.DOCX", "https://docs.wto.org/imrd/directdoc.asp?DDFDocuments/u/G/TBTN21/ECU505A3.DOCX")</f>
      </c>
      <c r="Q43" s="6">
        <f>HYPERLINK("https://docs.wto.org/imrd/directdoc.asp?DDFDocuments/v/G/TBTN21/ECU505A3.DOCX", "https://docs.wto.org/imrd/directdoc.asp?DDFDocuments/v/G/TBTN21/ECU505A3.DOCX")</f>
      </c>
    </row>
    <row r="44">
      <c r="A44" s="6" t="s">
        <v>167</v>
      </c>
      <c r="B44" s="7">
        <v>45551</v>
      </c>
      <c r="C44" s="6">
        <f>HYPERLINK("https://eping.wto.org/en/Search?viewData= G/TBT/N/TUR/121/Add.2"," G/TBT/N/TUR/121/Add.2")</f>
      </c>
      <c r="D44" s="8" t="s">
        <v>252</v>
      </c>
      <c r="E44" s="8" t="s">
        <v>253</v>
      </c>
      <c r="F44" s="8" t="s">
        <v>170</v>
      </c>
      <c r="G44" s="6" t="s">
        <v>40</v>
      </c>
      <c r="H44" s="6" t="s">
        <v>254</v>
      </c>
      <c r="I44" s="6" t="s">
        <v>147</v>
      </c>
      <c r="J44" s="6" t="s">
        <v>122</v>
      </c>
      <c r="K44" s="6"/>
      <c r="L44" s="7">
        <v>45608</v>
      </c>
      <c r="M44" s="6" t="s">
        <v>76</v>
      </c>
      <c r="N44" s="8" t="s">
        <v>255</v>
      </c>
      <c r="O44" s="6">
        <f>HYPERLINK("https://docs.wto.org/imrd/directdoc.asp?DDFDocuments/t/G/TBTN18/TUR121A2.DOCX", "https://docs.wto.org/imrd/directdoc.asp?DDFDocuments/t/G/TBTN18/TUR121A2.DOCX")</f>
      </c>
      <c r="P44" s="6">
        <f>HYPERLINK("https://docs.wto.org/imrd/directdoc.asp?DDFDocuments/u/G/TBTN18/TUR121A2.DOCX", "https://docs.wto.org/imrd/directdoc.asp?DDFDocuments/u/G/TBTN18/TUR121A2.DOCX")</f>
      </c>
      <c r="Q44" s="6">
        <f>HYPERLINK("https://docs.wto.org/imrd/directdoc.asp?DDFDocuments/v/G/TBTN18/TUR121A2.DOCX", "https://docs.wto.org/imrd/directdoc.asp?DDFDocuments/v/G/TBTN18/TUR121A2.DOCX")</f>
      </c>
    </row>
    <row r="45">
      <c r="A45" s="6" t="s">
        <v>256</v>
      </c>
      <c r="B45" s="7">
        <v>45548</v>
      </c>
      <c r="C45" s="6">
        <f>HYPERLINK("https://eping.wto.org/en/Search?viewData= G/TBT/N/HND/102"," G/TBT/N/HND/102")</f>
      </c>
      <c r="D45" s="8" t="s">
        <v>257</v>
      </c>
      <c r="E45" s="8" t="s">
        <v>258</v>
      </c>
      <c r="F45" s="8" t="s">
        <v>35</v>
      </c>
      <c r="G45" s="6" t="s">
        <v>40</v>
      </c>
      <c r="H45" s="6" t="s">
        <v>37</v>
      </c>
      <c r="I45" s="6" t="s">
        <v>259</v>
      </c>
      <c r="J45" s="6" t="s">
        <v>24</v>
      </c>
      <c r="K45" s="6"/>
      <c r="L45" s="7">
        <v>45608</v>
      </c>
      <c r="M45" s="6" t="s">
        <v>25</v>
      </c>
      <c r="N45" s="8" t="s">
        <v>260</v>
      </c>
      <c r="O45" s="6">
        <f>HYPERLINK("https://docs.wto.org/imrd/directdoc.asp?DDFDocuments/t/G/TBTN24/HND102.DOCX", "https://docs.wto.org/imrd/directdoc.asp?DDFDocuments/t/G/TBTN24/HND102.DOCX")</f>
      </c>
      <c r="P45" s="6">
        <f>HYPERLINK("https://docs.wto.org/imrd/directdoc.asp?DDFDocuments/u/G/TBTN24/HND102.DOCX", "https://docs.wto.org/imrd/directdoc.asp?DDFDocuments/u/G/TBTN24/HND102.DOCX")</f>
      </c>
      <c r="Q45" s="6">
        <f>HYPERLINK("https://docs.wto.org/imrd/directdoc.asp?DDFDocuments/v/G/TBTN24/HND102.DOCX", "https://docs.wto.org/imrd/directdoc.asp?DDFDocuments/v/G/TBTN24/HND102.DOCX")</f>
      </c>
    </row>
    <row r="46">
      <c r="A46" s="6" t="s">
        <v>124</v>
      </c>
      <c r="B46" s="7">
        <v>45548</v>
      </c>
      <c r="C46" s="6">
        <f>HYPERLINK("https://eping.wto.org/en/Search?viewData= G/TBT/N/ARG/344/Add.9"," G/TBT/N/ARG/344/Add.9")</f>
      </c>
      <c r="D46" s="8" t="s">
        <v>261</v>
      </c>
      <c r="E46" s="8" t="s">
        <v>262</v>
      </c>
      <c r="F46" s="8" t="s">
        <v>263</v>
      </c>
      <c r="G46" s="6" t="s">
        <v>40</v>
      </c>
      <c r="H46" s="6" t="s">
        <v>264</v>
      </c>
      <c r="I46" s="6" t="s">
        <v>265</v>
      </c>
      <c r="J46" s="6" t="s">
        <v>40</v>
      </c>
      <c r="K46" s="6"/>
      <c r="L46" s="7" t="s">
        <v>40</v>
      </c>
      <c r="M46" s="6" t="s">
        <v>76</v>
      </c>
      <c r="N46" s="6"/>
      <c r="O46" s="6">
        <f>HYPERLINK("https://docs.wto.org/imrd/directdoc.asp?DDFDocuments/t/G/TBTN18/ARG344A9.DOCX", "https://docs.wto.org/imrd/directdoc.asp?DDFDocuments/t/G/TBTN18/ARG344A9.DOCX")</f>
      </c>
      <c r="P46" s="6">
        <f>HYPERLINK("https://docs.wto.org/imrd/directdoc.asp?DDFDocuments/u/G/TBTN18/ARG344A9.DOCX", "https://docs.wto.org/imrd/directdoc.asp?DDFDocuments/u/G/TBTN18/ARG344A9.DOCX")</f>
      </c>
      <c r="Q46" s="6">
        <f>HYPERLINK("https://docs.wto.org/imrd/directdoc.asp?DDFDocuments/v/G/TBTN18/ARG344A9.DOCX", "https://docs.wto.org/imrd/directdoc.asp?DDFDocuments/v/G/TBTN18/ARG344A9.DOCX")</f>
      </c>
    </row>
    <row r="47">
      <c r="A47" s="6" t="s">
        <v>99</v>
      </c>
      <c r="B47" s="7">
        <v>45548</v>
      </c>
      <c r="C47" s="6">
        <f>HYPERLINK("https://eping.wto.org/en/Search?viewData= G/TBT/N/AUS/155/Add.1"," G/TBT/N/AUS/155/Add.1")</f>
      </c>
      <c r="D47" s="8" t="s">
        <v>266</v>
      </c>
      <c r="E47" s="8" t="s">
        <v>267</v>
      </c>
      <c r="F47" s="8" t="s">
        <v>268</v>
      </c>
      <c r="G47" s="6" t="s">
        <v>269</v>
      </c>
      <c r="H47" s="6" t="s">
        <v>270</v>
      </c>
      <c r="I47" s="6" t="s">
        <v>147</v>
      </c>
      <c r="J47" s="6" t="s">
        <v>122</v>
      </c>
      <c r="K47" s="6"/>
      <c r="L47" s="7" t="s">
        <v>40</v>
      </c>
      <c r="M47" s="6" t="s">
        <v>76</v>
      </c>
      <c r="N47" s="8" t="s">
        <v>271</v>
      </c>
      <c r="O47" s="6">
        <f>HYPERLINK("https://docs.wto.org/imrd/directdoc.asp?DDFDocuments/t/G/TBTN23/AUS155A1.DOCX", "https://docs.wto.org/imrd/directdoc.asp?DDFDocuments/t/G/TBTN23/AUS155A1.DOCX")</f>
      </c>
      <c r="P47" s="6">
        <f>HYPERLINK("https://docs.wto.org/imrd/directdoc.asp?DDFDocuments/u/G/TBTN23/AUS155A1.DOCX", "https://docs.wto.org/imrd/directdoc.asp?DDFDocuments/u/G/TBTN23/AUS155A1.DOCX")</f>
      </c>
      <c r="Q47" s="6">
        <f>HYPERLINK("https://docs.wto.org/imrd/directdoc.asp?DDFDocuments/v/G/TBTN23/AUS155A1.DOCX", "https://docs.wto.org/imrd/directdoc.asp?DDFDocuments/v/G/TBTN23/AUS155A1.DOCX")</f>
      </c>
    </row>
    <row r="48">
      <c r="A48" s="6" t="s">
        <v>124</v>
      </c>
      <c r="B48" s="7">
        <v>45548</v>
      </c>
      <c r="C48" s="6">
        <f>HYPERLINK("https://eping.wto.org/en/Search?viewData= G/TBT/N/ARG/332/Add.1"," G/TBT/N/ARG/332/Add.1")</f>
      </c>
      <c r="D48" s="8" t="s">
        <v>272</v>
      </c>
      <c r="E48" s="8" t="s">
        <v>273</v>
      </c>
      <c r="F48" s="8" t="s">
        <v>274</v>
      </c>
      <c r="G48" s="6" t="s">
        <v>40</v>
      </c>
      <c r="H48" s="6" t="s">
        <v>275</v>
      </c>
      <c r="I48" s="6" t="s">
        <v>147</v>
      </c>
      <c r="J48" s="6" t="s">
        <v>40</v>
      </c>
      <c r="K48" s="6"/>
      <c r="L48" s="7" t="s">
        <v>40</v>
      </c>
      <c r="M48" s="6" t="s">
        <v>76</v>
      </c>
      <c r="N48" s="6"/>
      <c r="O48" s="6">
        <f>HYPERLINK("https://docs.wto.org/imrd/directdoc.asp?DDFDocuments/t/G/TBTN18/ARG332A1.DOCX", "https://docs.wto.org/imrd/directdoc.asp?DDFDocuments/t/G/TBTN18/ARG332A1.DOCX")</f>
      </c>
      <c r="P48" s="6">
        <f>HYPERLINK("https://docs.wto.org/imrd/directdoc.asp?DDFDocuments/u/G/TBTN18/ARG332A1.DOCX", "https://docs.wto.org/imrd/directdoc.asp?DDFDocuments/u/G/TBTN18/ARG332A1.DOCX")</f>
      </c>
      <c r="Q48" s="6">
        <f>HYPERLINK("https://docs.wto.org/imrd/directdoc.asp?DDFDocuments/v/G/TBTN18/ARG332A1.DOCX", "https://docs.wto.org/imrd/directdoc.asp?DDFDocuments/v/G/TBTN18/ARG332A1.DOCX")</f>
      </c>
    </row>
    <row r="49">
      <c r="A49" s="6" t="s">
        <v>124</v>
      </c>
      <c r="B49" s="7">
        <v>45548</v>
      </c>
      <c r="C49" s="6">
        <f>HYPERLINK("https://eping.wto.org/en/Search?viewData= G/TBT/N/ARG/337/Add.5"," G/TBT/N/ARG/337/Add.5")</f>
      </c>
      <c r="D49" s="8" t="s">
        <v>276</v>
      </c>
      <c r="E49" s="8" t="s">
        <v>277</v>
      </c>
      <c r="F49" s="8" t="s">
        <v>278</v>
      </c>
      <c r="G49" s="6" t="s">
        <v>40</v>
      </c>
      <c r="H49" s="6" t="s">
        <v>279</v>
      </c>
      <c r="I49" s="6" t="s">
        <v>280</v>
      </c>
      <c r="J49" s="6" t="s">
        <v>40</v>
      </c>
      <c r="K49" s="6"/>
      <c r="L49" s="7" t="s">
        <v>40</v>
      </c>
      <c r="M49" s="6" t="s">
        <v>76</v>
      </c>
      <c r="N49" s="6"/>
      <c r="O49" s="6">
        <f>HYPERLINK("https://docs.wto.org/imrd/directdoc.asp?DDFDocuments/t/G/TBTN18/ARG337A5.DOCX", "https://docs.wto.org/imrd/directdoc.asp?DDFDocuments/t/G/TBTN18/ARG337A5.DOCX")</f>
      </c>
      <c r="P49" s="6">
        <f>HYPERLINK("https://docs.wto.org/imrd/directdoc.asp?DDFDocuments/u/G/TBTN18/ARG337A5.DOCX", "https://docs.wto.org/imrd/directdoc.asp?DDFDocuments/u/G/TBTN18/ARG337A5.DOCX")</f>
      </c>
      <c r="Q49" s="6">
        <f>HYPERLINK("https://docs.wto.org/imrd/directdoc.asp?DDFDocuments/v/G/TBTN18/ARG337A5.DOCX", "https://docs.wto.org/imrd/directdoc.asp?DDFDocuments/v/G/TBTN18/ARG337A5.DOCX")</f>
      </c>
    </row>
    <row r="50">
      <c r="A50" s="6" t="s">
        <v>160</v>
      </c>
      <c r="B50" s="7">
        <v>45548</v>
      </c>
      <c r="C50" s="6">
        <f>HYPERLINK("https://eping.wto.org/en/Search?viewData= G/SPS/N/USA/3477"," G/SPS/N/USA/3477")</f>
      </c>
      <c r="D50" s="8" t="s">
        <v>281</v>
      </c>
      <c r="E50" s="8" t="s">
        <v>282</v>
      </c>
      <c r="F50" s="8" t="s">
        <v>283</v>
      </c>
      <c r="G50" s="6" t="s">
        <v>40</v>
      </c>
      <c r="H50" s="6" t="s">
        <v>40</v>
      </c>
      <c r="I50" s="6" t="s">
        <v>38</v>
      </c>
      <c r="J50" s="6" t="s">
        <v>103</v>
      </c>
      <c r="K50" s="6"/>
      <c r="L50" s="7" t="s">
        <v>40</v>
      </c>
      <c r="M50" s="6" t="s">
        <v>25</v>
      </c>
      <c r="N50" s="8" t="s">
        <v>284</v>
      </c>
      <c r="O50" s="6">
        <f>HYPERLINK("https://docs.wto.org/imrd/directdoc.asp?DDFDocuments/t/G/SPS/NUSA3477.DOCX", "https://docs.wto.org/imrd/directdoc.asp?DDFDocuments/t/G/SPS/NUSA3477.DOCX")</f>
      </c>
      <c r="P50" s="6">
        <f>HYPERLINK("https://docs.wto.org/imrd/directdoc.asp?DDFDocuments/u/G/SPS/NUSA3477.DOCX", "https://docs.wto.org/imrd/directdoc.asp?DDFDocuments/u/G/SPS/NUSA3477.DOCX")</f>
      </c>
      <c r="Q50" s="6">
        <f>HYPERLINK("https://docs.wto.org/imrd/directdoc.asp?DDFDocuments/v/G/SPS/NUSA3477.DOCX", "https://docs.wto.org/imrd/directdoc.asp?DDFDocuments/v/G/SPS/NUSA3477.DOCX")</f>
      </c>
    </row>
    <row r="51">
      <c r="A51" s="6" t="s">
        <v>124</v>
      </c>
      <c r="B51" s="7">
        <v>45548</v>
      </c>
      <c r="C51" s="6">
        <f>HYPERLINK("https://eping.wto.org/en/Search?viewData= G/TBT/N/ARG/324/Add.1/Corr.1"," G/TBT/N/ARG/324/Add.1/Corr.1")</f>
      </c>
      <c r="D51" s="8" t="s">
        <v>285</v>
      </c>
      <c r="E51" s="8" t="s">
        <v>285</v>
      </c>
      <c r="F51" s="8" t="s">
        <v>286</v>
      </c>
      <c r="G51" s="6" t="s">
        <v>40</v>
      </c>
      <c r="H51" s="6" t="s">
        <v>287</v>
      </c>
      <c r="I51" s="6" t="s">
        <v>40</v>
      </c>
      <c r="J51" s="6" t="s">
        <v>40</v>
      </c>
      <c r="K51" s="6"/>
      <c r="L51" s="7" t="s">
        <v>40</v>
      </c>
      <c r="M51" s="6" t="s">
        <v>224</v>
      </c>
      <c r="N51" s="6"/>
      <c r="O51" s="6">
        <f>HYPERLINK("https://docs.wto.org/imrd/directdoc.asp?DDFDocuments/t/G/TBTN17/ARG324A1C1.DOCX", "https://docs.wto.org/imrd/directdoc.asp?DDFDocuments/t/G/TBTN17/ARG324A1C1.DOCX")</f>
      </c>
      <c r="P51" s="6"/>
      <c r="Q51" s="6">
        <f>HYPERLINK("https://docs.wto.org/imrd/directdoc.asp?DDFDocuments/v/G/TBTN17/ARG324A1C1.DOCX", "https://docs.wto.org/imrd/directdoc.asp?DDFDocuments/v/G/TBTN17/ARG324A1C1.DOCX")</f>
      </c>
    </row>
    <row r="52">
      <c r="A52" s="6" t="s">
        <v>129</v>
      </c>
      <c r="B52" s="7">
        <v>45547</v>
      </c>
      <c r="C52" s="6">
        <f>HYPERLINK("https://eping.wto.org/en/Search?viewData= G/TBT/N/IND/339"," G/TBT/N/IND/339")</f>
      </c>
      <c r="D52" s="8" t="s">
        <v>288</v>
      </c>
      <c r="E52" s="8" t="s">
        <v>289</v>
      </c>
      <c r="F52" s="8" t="s">
        <v>290</v>
      </c>
      <c r="G52" s="6" t="s">
        <v>291</v>
      </c>
      <c r="H52" s="6" t="s">
        <v>133</v>
      </c>
      <c r="I52" s="6" t="s">
        <v>134</v>
      </c>
      <c r="J52" s="6" t="s">
        <v>40</v>
      </c>
      <c r="K52" s="6"/>
      <c r="L52" s="7">
        <v>45607</v>
      </c>
      <c r="M52" s="6" t="s">
        <v>25</v>
      </c>
      <c r="N52" s="6"/>
      <c r="O52" s="6">
        <f>HYPERLINK("https://docs.wto.org/imrd/directdoc.asp?DDFDocuments/t/G/TBTN24/IND339.DOCX", "https://docs.wto.org/imrd/directdoc.asp?DDFDocuments/t/G/TBTN24/IND339.DOCX")</f>
      </c>
      <c r="P52" s="6">
        <f>HYPERLINK("https://docs.wto.org/imrd/directdoc.asp?DDFDocuments/u/G/TBTN24/IND339.DOCX", "https://docs.wto.org/imrd/directdoc.asp?DDFDocuments/u/G/TBTN24/IND339.DOCX")</f>
      </c>
      <c r="Q52" s="6">
        <f>HYPERLINK("https://docs.wto.org/imrd/directdoc.asp?DDFDocuments/v/G/TBTN24/IND339.DOCX", "https://docs.wto.org/imrd/directdoc.asp?DDFDocuments/v/G/TBTN24/IND339.DOCX")</f>
      </c>
    </row>
    <row r="53">
      <c r="A53" s="6" t="s">
        <v>160</v>
      </c>
      <c r="B53" s="7">
        <v>45547</v>
      </c>
      <c r="C53" s="6">
        <f>HYPERLINK("https://eping.wto.org/en/Search?viewData= G/TBT/N/USA/810/Add.2"," G/TBT/N/USA/810/Add.2")</f>
      </c>
      <c r="D53" s="8" t="s">
        <v>292</v>
      </c>
      <c r="E53" s="8" t="s">
        <v>293</v>
      </c>
      <c r="F53" s="8" t="s">
        <v>294</v>
      </c>
      <c r="G53" s="6" t="s">
        <v>295</v>
      </c>
      <c r="H53" s="6" t="s">
        <v>296</v>
      </c>
      <c r="I53" s="6" t="s">
        <v>147</v>
      </c>
      <c r="J53" s="6" t="s">
        <v>40</v>
      </c>
      <c r="K53" s="6"/>
      <c r="L53" s="7">
        <v>45559</v>
      </c>
      <c r="M53" s="6" t="s">
        <v>76</v>
      </c>
      <c r="N53" s="8" t="s">
        <v>297</v>
      </c>
      <c r="O53" s="6">
        <f>HYPERLINK("https://docs.wto.org/imrd/directdoc.asp?DDFDocuments/t/G/TBTN13/USA810A2.DOCX", "https://docs.wto.org/imrd/directdoc.asp?DDFDocuments/t/G/TBTN13/USA810A2.DOCX")</f>
      </c>
      <c r="P53" s="6">
        <f>HYPERLINK("https://docs.wto.org/imrd/directdoc.asp?DDFDocuments/u/G/TBTN13/USA810A2.DOCX", "https://docs.wto.org/imrd/directdoc.asp?DDFDocuments/u/G/TBTN13/USA810A2.DOCX")</f>
      </c>
      <c r="Q53" s="6">
        <f>HYPERLINK("https://docs.wto.org/imrd/directdoc.asp?DDFDocuments/v/G/TBTN13/USA810A2.DOCX", "https://docs.wto.org/imrd/directdoc.asp?DDFDocuments/v/G/TBTN13/USA810A2.DOCX")</f>
      </c>
    </row>
    <row r="54">
      <c r="A54" s="6" t="s">
        <v>124</v>
      </c>
      <c r="B54" s="7">
        <v>45547</v>
      </c>
      <c r="C54" s="6">
        <f>HYPERLINK("https://eping.wto.org/en/Search?viewData= G/TBT/Notif.99/499/Add.3"," G/TBT/Notif.99/499/Add.3")</f>
      </c>
      <c r="D54" s="8" t="s">
        <v>298</v>
      </c>
      <c r="E54" s="8" t="s">
        <v>299</v>
      </c>
      <c r="F54" s="8" t="s">
        <v>300</v>
      </c>
      <c r="G54" s="6" t="s">
        <v>40</v>
      </c>
      <c r="H54" s="6" t="s">
        <v>301</v>
      </c>
      <c r="I54" s="6" t="s">
        <v>40</v>
      </c>
      <c r="J54" s="6" t="s">
        <v>40</v>
      </c>
      <c r="K54" s="6"/>
      <c r="L54" s="7" t="s">
        <v>40</v>
      </c>
      <c r="M54" s="6" t="s">
        <v>76</v>
      </c>
      <c r="N54" s="6"/>
      <c r="O54" s="6">
        <f>HYPERLINK("https://docs.wto.org/imrd/directdoc.asp?DDFDocuments/t/G/TBTNOT99/499A3.DOCX", "https://docs.wto.org/imrd/directdoc.asp?DDFDocuments/t/G/TBTNOT99/499A3.DOCX")</f>
      </c>
      <c r="P54" s="6">
        <f>HYPERLINK("https://docs.wto.org/imrd/directdoc.asp?DDFDocuments/u/G/TBTNOT99/499A3.DOCX", "https://docs.wto.org/imrd/directdoc.asp?DDFDocuments/u/G/TBTNOT99/499A3.DOCX")</f>
      </c>
      <c r="Q54" s="6">
        <f>HYPERLINK("https://docs.wto.org/imrd/directdoc.asp?DDFDocuments/v/G/TBTNOT99/499A3.DOCX", "https://docs.wto.org/imrd/directdoc.asp?DDFDocuments/v/G/TBTNOT99/499A3.DOCX")</f>
      </c>
    </row>
    <row r="55">
      <c r="A55" s="6" t="s">
        <v>115</v>
      </c>
      <c r="B55" s="7">
        <v>45546</v>
      </c>
      <c r="C55" s="6">
        <f>HYPERLINK("https://eping.wto.org/en/Search?viewData= G/SPS/N/BRA/2330"," G/SPS/N/BRA/2330")</f>
      </c>
      <c r="D55" s="8" t="s">
        <v>302</v>
      </c>
      <c r="E55" s="8" t="s">
        <v>303</v>
      </c>
      <c r="F55" s="8" t="s">
        <v>233</v>
      </c>
      <c r="G55" s="6" t="s">
        <v>40</v>
      </c>
      <c r="H55" s="6" t="s">
        <v>234</v>
      </c>
      <c r="I55" s="6" t="s">
        <v>38</v>
      </c>
      <c r="J55" s="6" t="s">
        <v>60</v>
      </c>
      <c r="K55" s="6"/>
      <c r="L55" s="7">
        <v>45604</v>
      </c>
      <c r="M55" s="6" t="s">
        <v>25</v>
      </c>
      <c r="N55" s="8" t="s">
        <v>304</v>
      </c>
      <c r="O55" s="6">
        <f>HYPERLINK("https://docs.wto.org/imrd/directdoc.asp?DDFDocuments/t/G/SPS/NBRA2330.DOCX", "https://docs.wto.org/imrd/directdoc.asp?DDFDocuments/t/G/SPS/NBRA2330.DOCX")</f>
      </c>
      <c r="P55" s="6">
        <f>HYPERLINK("https://docs.wto.org/imrd/directdoc.asp?DDFDocuments/u/G/SPS/NBRA2330.DOCX", "https://docs.wto.org/imrd/directdoc.asp?DDFDocuments/u/G/SPS/NBRA2330.DOCX")</f>
      </c>
      <c r="Q55" s="6">
        <f>HYPERLINK("https://docs.wto.org/imrd/directdoc.asp?DDFDocuments/v/G/SPS/NBRA2330.DOCX", "https://docs.wto.org/imrd/directdoc.asp?DDFDocuments/v/G/SPS/NBRA2330.DOCX")</f>
      </c>
    </row>
    <row r="56">
      <c r="A56" s="6" t="s">
        <v>124</v>
      </c>
      <c r="B56" s="7">
        <v>45546</v>
      </c>
      <c r="C56" s="6">
        <f>HYPERLINK("https://eping.wto.org/en/Search?viewData= G/TBT/N/ARG/344/Add.8"," G/TBT/N/ARG/344/Add.8")</f>
      </c>
      <c r="D56" s="8" t="s">
        <v>305</v>
      </c>
      <c r="E56" s="8" t="s">
        <v>306</v>
      </c>
      <c r="F56" s="8" t="s">
        <v>263</v>
      </c>
      <c r="G56" s="6" t="s">
        <v>40</v>
      </c>
      <c r="H56" s="6" t="s">
        <v>264</v>
      </c>
      <c r="I56" s="6" t="s">
        <v>265</v>
      </c>
      <c r="J56" s="6" t="s">
        <v>40</v>
      </c>
      <c r="K56" s="6"/>
      <c r="L56" s="7" t="s">
        <v>40</v>
      </c>
      <c r="M56" s="6" t="s">
        <v>76</v>
      </c>
      <c r="N56" s="6"/>
      <c r="O56" s="6">
        <f>HYPERLINK("https://docs.wto.org/imrd/directdoc.asp?DDFDocuments/t/G/TBTN18/ARG344A8.DOCX", "https://docs.wto.org/imrd/directdoc.asp?DDFDocuments/t/G/TBTN18/ARG344A8.DOCX")</f>
      </c>
      <c r="P56" s="6">
        <f>HYPERLINK("https://docs.wto.org/imrd/directdoc.asp?DDFDocuments/u/G/TBTN18/ARG344A8.DOCX", "https://docs.wto.org/imrd/directdoc.asp?DDFDocuments/u/G/TBTN18/ARG344A8.DOCX")</f>
      </c>
      <c r="Q56" s="6">
        <f>HYPERLINK("https://docs.wto.org/imrd/directdoc.asp?DDFDocuments/v/G/TBTN18/ARG344A8.DOCX", "https://docs.wto.org/imrd/directdoc.asp?DDFDocuments/v/G/TBTN18/ARG344A8.DOCX")</f>
      </c>
    </row>
    <row r="57">
      <c r="A57" s="6" t="s">
        <v>307</v>
      </c>
      <c r="B57" s="7">
        <v>45546</v>
      </c>
      <c r="C57" s="6">
        <f>HYPERLINK("https://eping.wto.org/en/Search?viewData= G/SPS/N/CAN/1568"," G/SPS/N/CAN/1568")</f>
      </c>
      <c r="D57" s="8" t="s">
        <v>308</v>
      </c>
      <c r="E57" s="8" t="s">
        <v>309</v>
      </c>
      <c r="F57" s="8" t="s">
        <v>310</v>
      </c>
      <c r="G57" s="6" t="s">
        <v>40</v>
      </c>
      <c r="H57" s="6" t="s">
        <v>311</v>
      </c>
      <c r="I57" s="6" t="s">
        <v>38</v>
      </c>
      <c r="J57" s="6" t="s">
        <v>103</v>
      </c>
      <c r="K57" s="6" t="s">
        <v>40</v>
      </c>
      <c r="L57" s="7">
        <v>45615</v>
      </c>
      <c r="M57" s="6" t="s">
        <v>25</v>
      </c>
      <c r="N57" s="6"/>
      <c r="O57" s="6">
        <f>HYPERLINK("https://docs.wto.org/imrd/directdoc.asp?DDFDocuments/t/G/SPS/NCAN1568.DOCX", "https://docs.wto.org/imrd/directdoc.asp?DDFDocuments/t/G/SPS/NCAN1568.DOCX")</f>
      </c>
      <c r="P57" s="6">
        <f>HYPERLINK("https://docs.wto.org/imrd/directdoc.asp?DDFDocuments/u/G/SPS/NCAN1568.DOCX", "https://docs.wto.org/imrd/directdoc.asp?DDFDocuments/u/G/SPS/NCAN1568.DOCX")</f>
      </c>
      <c r="Q57" s="6">
        <f>HYPERLINK("https://docs.wto.org/imrd/directdoc.asp?DDFDocuments/v/G/SPS/NCAN1568.DOCX", "https://docs.wto.org/imrd/directdoc.asp?DDFDocuments/v/G/SPS/NCAN1568.DOCX")</f>
      </c>
    </row>
    <row r="58">
      <c r="A58" s="6" t="s">
        <v>307</v>
      </c>
      <c r="B58" s="7">
        <v>45546</v>
      </c>
      <c r="C58" s="6">
        <f>HYPERLINK("https://eping.wto.org/en/Search?viewData= G/SPS/N/CAN/1571"," G/SPS/N/CAN/1571")</f>
      </c>
      <c r="D58" s="8" t="s">
        <v>312</v>
      </c>
      <c r="E58" s="8" t="s">
        <v>313</v>
      </c>
      <c r="F58" s="8" t="s">
        <v>314</v>
      </c>
      <c r="G58" s="6" t="s">
        <v>40</v>
      </c>
      <c r="H58" s="6" t="s">
        <v>315</v>
      </c>
      <c r="I58" s="6" t="s">
        <v>38</v>
      </c>
      <c r="J58" s="6" t="s">
        <v>60</v>
      </c>
      <c r="K58" s="6" t="s">
        <v>40</v>
      </c>
      <c r="L58" s="7">
        <v>45620</v>
      </c>
      <c r="M58" s="6" t="s">
        <v>25</v>
      </c>
      <c r="N58" s="6"/>
      <c r="O58" s="6">
        <f>HYPERLINK("https://docs.wto.org/imrd/directdoc.asp?DDFDocuments/t/G/SPS/NCAN1571.DOCX", "https://docs.wto.org/imrd/directdoc.asp?DDFDocuments/t/G/SPS/NCAN1571.DOCX")</f>
      </c>
      <c r="P58" s="6">
        <f>HYPERLINK("https://docs.wto.org/imrd/directdoc.asp?DDFDocuments/u/G/SPS/NCAN1571.DOCX", "https://docs.wto.org/imrd/directdoc.asp?DDFDocuments/u/G/SPS/NCAN1571.DOCX")</f>
      </c>
      <c r="Q58" s="6">
        <f>HYPERLINK("https://docs.wto.org/imrd/directdoc.asp?DDFDocuments/v/G/SPS/NCAN1571.DOCX", "https://docs.wto.org/imrd/directdoc.asp?DDFDocuments/v/G/SPS/NCAN1571.DOCX")</f>
      </c>
    </row>
    <row r="59">
      <c r="A59" s="6" t="s">
        <v>307</v>
      </c>
      <c r="B59" s="7">
        <v>45546</v>
      </c>
      <c r="C59" s="6">
        <f>HYPERLINK("https://eping.wto.org/en/Search?viewData= G/SPS/N/CAN/1554/Add.1"," G/SPS/N/CAN/1554/Add.1")</f>
      </c>
      <c r="D59" s="8" t="s">
        <v>316</v>
      </c>
      <c r="E59" s="8" t="s">
        <v>317</v>
      </c>
      <c r="F59" s="8" t="s">
        <v>318</v>
      </c>
      <c r="G59" s="6" t="s">
        <v>319</v>
      </c>
      <c r="H59" s="6" t="s">
        <v>320</v>
      </c>
      <c r="I59" s="6" t="s">
        <v>38</v>
      </c>
      <c r="J59" s="6" t="s">
        <v>321</v>
      </c>
      <c r="K59" s="6"/>
      <c r="L59" s="7" t="s">
        <v>40</v>
      </c>
      <c r="M59" s="6" t="s">
        <v>76</v>
      </c>
      <c r="N59" s="6"/>
      <c r="O59" s="6">
        <f>HYPERLINK("https://docs.wto.org/imrd/directdoc.asp?DDFDocuments/t/G/SPS/NCAN1554A1.DOCX", "https://docs.wto.org/imrd/directdoc.asp?DDFDocuments/t/G/SPS/NCAN1554A1.DOCX")</f>
      </c>
      <c r="P59" s="6">
        <f>HYPERLINK("https://docs.wto.org/imrd/directdoc.asp?DDFDocuments/u/G/SPS/NCAN1554A1.DOCX", "https://docs.wto.org/imrd/directdoc.asp?DDFDocuments/u/G/SPS/NCAN1554A1.DOCX")</f>
      </c>
      <c r="Q59" s="6">
        <f>HYPERLINK("https://docs.wto.org/imrd/directdoc.asp?DDFDocuments/v/G/SPS/NCAN1554A1.DOCX", "https://docs.wto.org/imrd/directdoc.asp?DDFDocuments/v/G/SPS/NCAN1554A1.DOCX")</f>
      </c>
    </row>
    <row r="60">
      <c r="A60" s="6" t="s">
        <v>322</v>
      </c>
      <c r="B60" s="7">
        <v>45546</v>
      </c>
      <c r="C60" s="6">
        <f>HYPERLINK("https://eping.wto.org/en/Search?viewData= G/SPS/N/TPKM/633"," G/SPS/N/TPKM/633")</f>
      </c>
      <c r="D60" s="8" t="s">
        <v>323</v>
      </c>
      <c r="E60" s="8" t="s">
        <v>324</v>
      </c>
      <c r="F60" s="8" t="s">
        <v>325</v>
      </c>
      <c r="G60" s="6" t="s">
        <v>40</v>
      </c>
      <c r="H60" s="6" t="s">
        <v>40</v>
      </c>
      <c r="I60" s="6" t="s">
        <v>38</v>
      </c>
      <c r="J60" s="6" t="s">
        <v>60</v>
      </c>
      <c r="K60" s="6" t="s">
        <v>40</v>
      </c>
      <c r="L60" s="7">
        <v>45606</v>
      </c>
      <c r="M60" s="6" t="s">
        <v>25</v>
      </c>
      <c r="N60" s="8" t="s">
        <v>326</v>
      </c>
      <c r="O60" s="6">
        <f>HYPERLINK("https://docs.wto.org/imrd/directdoc.asp?DDFDocuments/t/G/SPS/NTPKM633.DOCX", "https://docs.wto.org/imrd/directdoc.asp?DDFDocuments/t/G/SPS/NTPKM633.DOCX")</f>
      </c>
      <c r="P60" s="6">
        <f>HYPERLINK("https://docs.wto.org/imrd/directdoc.asp?DDFDocuments/u/G/SPS/NTPKM633.DOCX", "https://docs.wto.org/imrd/directdoc.asp?DDFDocuments/u/G/SPS/NTPKM633.DOCX")</f>
      </c>
      <c r="Q60" s="6">
        <f>HYPERLINK("https://docs.wto.org/imrd/directdoc.asp?DDFDocuments/v/G/SPS/NTPKM633.DOCX", "https://docs.wto.org/imrd/directdoc.asp?DDFDocuments/v/G/SPS/NTPKM633.DOCX")</f>
      </c>
    </row>
    <row r="61">
      <c r="A61" s="6" t="s">
        <v>307</v>
      </c>
      <c r="B61" s="7">
        <v>45546</v>
      </c>
      <c r="C61" s="6">
        <f>HYPERLINK("https://eping.wto.org/en/Search?viewData= G/SPS/N/CAN/1567"," G/SPS/N/CAN/1567")</f>
      </c>
      <c r="D61" s="8" t="s">
        <v>327</v>
      </c>
      <c r="E61" s="8" t="s">
        <v>328</v>
      </c>
      <c r="F61" s="8" t="s">
        <v>329</v>
      </c>
      <c r="G61" s="6" t="s">
        <v>40</v>
      </c>
      <c r="H61" s="6" t="s">
        <v>330</v>
      </c>
      <c r="I61" s="6" t="s">
        <v>38</v>
      </c>
      <c r="J61" s="6" t="s">
        <v>103</v>
      </c>
      <c r="K61" s="6" t="s">
        <v>40</v>
      </c>
      <c r="L61" s="7">
        <v>45615</v>
      </c>
      <c r="M61" s="6" t="s">
        <v>25</v>
      </c>
      <c r="N61" s="6"/>
      <c r="O61" s="6">
        <f>HYPERLINK("https://docs.wto.org/imrd/directdoc.asp?DDFDocuments/t/G/SPS/NCAN1567.DOCX", "https://docs.wto.org/imrd/directdoc.asp?DDFDocuments/t/G/SPS/NCAN1567.DOCX")</f>
      </c>
      <c r="P61" s="6">
        <f>HYPERLINK("https://docs.wto.org/imrd/directdoc.asp?DDFDocuments/u/G/SPS/NCAN1567.DOCX", "https://docs.wto.org/imrd/directdoc.asp?DDFDocuments/u/G/SPS/NCAN1567.DOCX")</f>
      </c>
      <c r="Q61" s="6">
        <f>HYPERLINK("https://docs.wto.org/imrd/directdoc.asp?DDFDocuments/v/G/SPS/NCAN1567.DOCX", "https://docs.wto.org/imrd/directdoc.asp?DDFDocuments/v/G/SPS/NCAN1567.DOCX")</f>
      </c>
    </row>
    <row r="62">
      <c r="A62" s="6" t="s">
        <v>331</v>
      </c>
      <c r="B62" s="7">
        <v>45546</v>
      </c>
      <c r="C62" s="6">
        <f>HYPERLINK("https://eping.wto.org/en/Search?viewData= G/TBT/N/ARE/625, G/TBT/N/BHR/710, G/TBT/N/KWT/689, G/TBT/N/OMN/534, G/TBT/N/QAT/685, G/TBT/N/SAU/1353, G/TBT/N/YEM/291"," G/TBT/N/ARE/625, G/TBT/N/BHR/710, G/TBT/N/KWT/689, G/TBT/N/OMN/534, G/TBT/N/QAT/685, G/TBT/N/SAU/1353, G/TBT/N/YEM/291")</f>
      </c>
      <c r="D62" s="8" t="s">
        <v>332</v>
      </c>
      <c r="E62" s="8" t="s">
        <v>333</v>
      </c>
      <c r="F62" s="8" t="s">
        <v>334</v>
      </c>
      <c r="G62" s="6" t="s">
        <v>335</v>
      </c>
      <c r="H62" s="6" t="s">
        <v>336</v>
      </c>
      <c r="I62" s="6" t="s">
        <v>337</v>
      </c>
      <c r="J62" s="6" t="s">
        <v>24</v>
      </c>
      <c r="K62" s="6"/>
      <c r="L62" s="7">
        <v>45576</v>
      </c>
      <c r="M62" s="6" t="s">
        <v>25</v>
      </c>
      <c r="N62" s="8" t="s">
        <v>338</v>
      </c>
      <c r="O62" s="6">
        <f>HYPERLINK("https://docs.wto.org/imrd/directdoc.asp?DDFDocuments/t/G/TBTN24/ARE625.DOCX", "https://docs.wto.org/imrd/directdoc.asp?DDFDocuments/t/G/TBTN24/ARE625.DOCX")</f>
      </c>
      <c r="P62" s="6">
        <f>HYPERLINK("https://docs.wto.org/imrd/directdoc.asp?DDFDocuments/u/G/TBTN24/ARE625.DOCX", "https://docs.wto.org/imrd/directdoc.asp?DDFDocuments/u/G/TBTN24/ARE625.DOCX")</f>
      </c>
      <c r="Q62" s="6">
        <f>HYPERLINK("https://docs.wto.org/imrd/directdoc.asp?DDFDocuments/v/G/TBTN24/ARE625.DOCX", "https://docs.wto.org/imrd/directdoc.asp?DDFDocuments/v/G/TBTN24/ARE625.DOCX")</f>
      </c>
    </row>
    <row r="63">
      <c r="A63" s="6" t="s">
        <v>307</v>
      </c>
      <c r="B63" s="7">
        <v>45546</v>
      </c>
      <c r="C63" s="6">
        <f>HYPERLINK("https://eping.wto.org/en/Search?viewData= G/SPS/N/CAN/1570"," G/SPS/N/CAN/1570")</f>
      </c>
      <c r="D63" s="8" t="s">
        <v>339</v>
      </c>
      <c r="E63" s="8" t="s">
        <v>340</v>
      </c>
      <c r="F63" s="8" t="s">
        <v>341</v>
      </c>
      <c r="G63" s="6" t="s">
        <v>342</v>
      </c>
      <c r="H63" s="6" t="s">
        <v>315</v>
      </c>
      <c r="I63" s="6" t="s">
        <v>38</v>
      </c>
      <c r="J63" s="6" t="s">
        <v>60</v>
      </c>
      <c r="K63" s="6" t="s">
        <v>40</v>
      </c>
      <c r="L63" s="7">
        <v>45616</v>
      </c>
      <c r="M63" s="6" t="s">
        <v>25</v>
      </c>
      <c r="N63" s="6"/>
      <c r="O63" s="6">
        <f>HYPERLINK("https://docs.wto.org/imrd/directdoc.asp?DDFDocuments/t/G/SPS/NCAN1570.DOCX", "https://docs.wto.org/imrd/directdoc.asp?DDFDocuments/t/G/SPS/NCAN1570.DOCX")</f>
      </c>
      <c r="P63" s="6">
        <f>HYPERLINK("https://docs.wto.org/imrd/directdoc.asp?DDFDocuments/u/G/SPS/NCAN1570.DOCX", "https://docs.wto.org/imrd/directdoc.asp?DDFDocuments/u/G/SPS/NCAN1570.DOCX")</f>
      </c>
      <c r="Q63" s="6">
        <f>HYPERLINK("https://docs.wto.org/imrd/directdoc.asp?DDFDocuments/v/G/SPS/NCAN1570.DOCX", "https://docs.wto.org/imrd/directdoc.asp?DDFDocuments/v/G/SPS/NCAN1570.DOCX")</f>
      </c>
    </row>
    <row r="64">
      <c r="A64" s="6" t="s">
        <v>343</v>
      </c>
      <c r="B64" s="7">
        <v>45546</v>
      </c>
      <c r="C64" s="6">
        <f>HYPERLINK("https://eping.wto.org/en/Search?viewData= G/TBT/N/ARE/625, G/TBT/N/BHR/710, G/TBT/N/KWT/689, G/TBT/N/OMN/534, G/TBT/N/QAT/685, G/TBT/N/SAU/1353, G/TBT/N/YEM/291"," G/TBT/N/ARE/625, G/TBT/N/BHR/710, G/TBT/N/KWT/689, G/TBT/N/OMN/534, G/TBT/N/QAT/685, G/TBT/N/SAU/1353, G/TBT/N/YEM/291")</f>
      </c>
      <c r="D64" s="8" t="s">
        <v>332</v>
      </c>
      <c r="E64" s="8" t="s">
        <v>333</v>
      </c>
      <c r="F64" s="8" t="s">
        <v>334</v>
      </c>
      <c r="G64" s="6" t="s">
        <v>335</v>
      </c>
      <c r="H64" s="6" t="s">
        <v>336</v>
      </c>
      <c r="I64" s="6" t="s">
        <v>337</v>
      </c>
      <c r="J64" s="6" t="s">
        <v>24</v>
      </c>
      <c r="K64" s="6"/>
      <c r="L64" s="7">
        <v>45576</v>
      </c>
      <c r="M64" s="6" t="s">
        <v>25</v>
      </c>
      <c r="N64" s="8" t="s">
        <v>338</v>
      </c>
      <c r="O64" s="6">
        <f>HYPERLINK("https://docs.wto.org/imrd/directdoc.asp?DDFDocuments/t/G/TBTN24/ARE625.DOCX", "https://docs.wto.org/imrd/directdoc.asp?DDFDocuments/t/G/TBTN24/ARE625.DOCX")</f>
      </c>
      <c r="P64" s="6">
        <f>HYPERLINK("https://docs.wto.org/imrd/directdoc.asp?DDFDocuments/u/G/TBTN24/ARE625.DOCX", "https://docs.wto.org/imrd/directdoc.asp?DDFDocuments/u/G/TBTN24/ARE625.DOCX")</f>
      </c>
      <c r="Q64" s="6">
        <f>HYPERLINK("https://docs.wto.org/imrd/directdoc.asp?DDFDocuments/v/G/TBTN24/ARE625.DOCX", "https://docs.wto.org/imrd/directdoc.asp?DDFDocuments/v/G/TBTN24/ARE625.DOCX")</f>
      </c>
    </row>
    <row r="65">
      <c r="A65" s="6" t="s">
        <v>344</v>
      </c>
      <c r="B65" s="7">
        <v>45546</v>
      </c>
      <c r="C65" s="6">
        <f>HYPERLINK("https://eping.wto.org/en/Search?viewData= G/TBT/N/ARE/625, G/TBT/N/BHR/710, G/TBT/N/KWT/689, G/TBT/N/OMN/534, G/TBT/N/QAT/685, G/TBT/N/SAU/1353, G/TBT/N/YEM/291"," G/TBT/N/ARE/625, G/TBT/N/BHR/710, G/TBT/N/KWT/689, G/TBT/N/OMN/534, G/TBT/N/QAT/685, G/TBT/N/SAU/1353, G/TBT/N/YEM/291")</f>
      </c>
      <c r="D65" s="8" t="s">
        <v>332</v>
      </c>
      <c r="E65" s="8" t="s">
        <v>333</v>
      </c>
      <c r="F65" s="8" t="s">
        <v>334</v>
      </c>
      <c r="G65" s="6" t="s">
        <v>335</v>
      </c>
      <c r="H65" s="6" t="s">
        <v>336</v>
      </c>
      <c r="I65" s="6" t="s">
        <v>337</v>
      </c>
      <c r="J65" s="6" t="s">
        <v>24</v>
      </c>
      <c r="K65" s="6"/>
      <c r="L65" s="7">
        <v>45576</v>
      </c>
      <c r="M65" s="6" t="s">
        <v>25</v>
      </c>
      <c r="N65" s="8" t="s">
        <v>338</v>
      </c>
      <c r="O65" s="6">
        <f>HYPERLINK("https://docs.wto.org/imrd/directdoc.asp?DDFDocuments/t/G/TBTN24/ARE625.DOCX", "https://docs.wto.org/imrd/directdoc.asp?DDFDocuments/t/G/TBTN24/ARE625.DOCX")</f>
      </c>
      <c r="P65" s="6">
        <f>HYPERLINK("https://docs.wto.org/imrd/directdoc.asp?DDFDocuments/u/G/TBTN24/ARE625.DOCX", "https://docs.wto.org/imrd/directdoc.asp?DDFDocuments/u/G/TBTN24/ARE625.DOCX")</f>
      </c>
      <c r="Q65" s="6">
        <f>HYPERLINK("https://docs.wto.org/imrd/directdoc.asp?DDFDocuments/v/G/TBTN24/ARE625.DOCX", "https://docs.wto.org/imrd/directdoc.asp?DDFDocuments/v/G/TBTN24/ARE625.DOCX")</f>
      </c>
    </row>
    <row r="66">
      <c r="A66" s="6" t="s">
        <v>307</v>
      </c>
      <c r="B66" s="7">
        <v>45546</v>
      </c>
      <c r="C66" s="6">
        <f>HYPERLINK("https://eping.wto.org/en/Search?viewData= G/SPS/N/CAN/1569"," G/SPS/N/CAN/1569")</f>
      </c>
      <c r="D66" s="8" t="s">
        <v>345</v>
      </c>
      <c r="E66" s="8" t="s">
        <v>346</v>
      </c>
      <c r="F66" s="8" t="s">
        <v>347</v>
      </c>
      <c r="G66" s="6" t="s">
        <v>342</v>
      </c>
      <c r="H66" s="6" t="s">
        <v>315</v>
      </c>
      <c r="I66" s="6" t="s">
        <v>38</v>
      </c>
      <c r="J66" s="6" t="s">
        <v>60</v>
      </c>
      <c r="K66" s="6" t="s">
        <v>40</v>
      </c>
      <c r="L66" s="7">
        <v>45616</v>
      </c>
      <c r="M66" s="6" t="s">
        <v>25</v>
      </c>
      <c r="N66" s="6"/>
      <c r="O66" s="6">
        <f>HYPERLINK("https://docs.wto.org/imrd/directdoc.asp?DDFDocuments/t/G/SPS/NCAN1569.DOCX", "https://docs.wto.org/imrd/directdoc.asp?DDFDocuments/t/G/SPS/NCAN1569.DOCX")</f>
      </c>
      <c r="P66" s="6">
        <f>HYPERLINK("https://docs.wto.org/imrd/directdoc.asp?DDFDocuments/u/G/SPS/NCAN1569.DOCX", "https://docs.wto.org/imrd/directdoc.asp?DDFDocuments/u/G/SPS/NCAN1569.DOCX")</f>
      </c>
      <c r="Q66" s="6">
        <f>HYPERLINK("https://docs.wto.org/imrd/directdoc.asp?DDFDocuments/v/G/SPS/NCAN1569.DOCX", "https://docs.wto.org/imrd/directdoc.asp?DDFDocuments/v/G/SPS/NCAN1569.DOCX")</f>
      </c>
    </row>
    <row r="67">
      <c r="A67" s="6" t="s">
        <v>348</v>
      </c>
      <c r="B67" s="7">
        <v>45546</v>
      </c>
      <c r="C67" s="6">
        <f>HYPERLINK("https://eping.wto.org/en/Search?viewData= G/SPS/N/RUS/291"," G/SPS/N/RUS/291")</f>
      </c>
      <c r="D67" s="8" t="s">
        <v>349</v>
      </c>
      <c r="E67" s="8" t="s">
        <v>350</v>
      </c>
      <c r="F67" s="8" t="s">
        <v>351</v>
      </c>
      <c r="G67" s="6" t="s">
        <v>352</v>
      </c>
      <c r="H67" s="6" t="s">
        <v>40</v>
      </c>
      <c r="I67" s="6" t="s">
        <v>353</v>
      </c>
      <c r="J67" s="6" t="s">
        <v>354</v>
      </c>
      <c r="K67" s="6" t="s">
        <v>355</v>
      </c>
      <c r="L67" s="7" t="s">
        <v>40</v>
      </c>
      <c r="M67" s="6" t="s">
        <v>356</v>
      </c>
      <c r="N67" s="8" t="s">
        <v>357</v>
      </c>
      <c r="O67" s="6">
        <f>HYPERLINK("https://docs.wto.org/imrd/directdoc.asp?DDFDocuments/t/G/SPS/NRUS291.DOCX", "https://docs.wto.org/imrd/directdoc.asp?DDFDocuments/t/G/SPS/NRUS291.DOCX")</f>
      </c>
      <c r="P67" s="6">
        <f>HYPERLINK("https://docs.wto.org/imrd/directdoc.asp?DDFDocuments/u/G/SPS/NRUS291.DOCX", "https://docs.wto.org/imrd/directdoc.asp?DDFDocuments/u/G/SPS/NRUS291.DOCX")</f>
      </c>
      <c r="Q67" s="6">
        <f>HYPERLINK("https://docs.wto.org/imrd/directdoc.asp?DDFDocuments/v/G/SPS/NRUS291.DOCX", "https://docs.wto.org/imrd/directdoc.asp?DDFDocuments/v/G/SPS/NRUS291.DOCX")</f>
      </c>
    </row>
    <row r="68">
      <c r="A68" s="6" t="s">
        <v>358</v>
      </c>
      <c r="B68" s="7">
        <v>45546</v>
      </c>
      <c r="C68" s="6">
        <f>HYPERLINK("https://eping.wto.org/en/Search?viewData= G/TBT/N/NZL/130/Add.1"," G/TBT/N/NZL/130/Add.1")</f>
      </c>
      <c r="D68" s="8" t="s">
        <v>359</v>
      </c>
      <c r="E68" s="8" t="s">
        <v>360</v>
      </c>
      <c r="F68" s="8" t="s">
        <v>361</v>
      </c>
      <c r="G68" s="6" t="s">
        <v>362</v>
      </c>
      <c r="H68" s="6" t="s">
        <v>363</v>
      </c>
      <c r="I68" s="6" t="s">
        <v>147</v>
      </c>
      <c r="J68" s="6" t="s">
        <v>154</v>
      </c>
      <c r="K68" s="6"/>
      <c r="L68" s="7" t="s">
        <v>40</v>
      </c>
      <c r="M68" s="6" t="s">
        <v>76</v>
      </c>
      <c r="N68" s="8" t="s">
        <v>364</v>
      </c>
      <c r="O68" s="6">
        <f>HYPERLINK("https://docs.wto.org/imrd/directdoc.asp?DDFDocuments/t/G/TBTN23/NZL130A1.DOCX", "https://docs.wto.org/imrd/directdoc.asp?DDFDocuments/t/G/TBTN23/NZL130A1.DOCX")</f>
      </c>
      <c r="P68" s="6">
        <f>HYPERLINK("https://docs.wto.org/imrd/directdoc.asp?DDFDocuments/u/G/TBTN23/NZL130A1.DOCX", "https://docs.wto.org/imrd/directdoc.asp?DDFDocuments/u/G/TBTN23/NZL130A1.DOCX")</f>
      </c>
      <c r="Q68" s="6">
        <f>HYPERLINK("https://docs.wto.org/imrd/directdoc.asp?DDFDocuments/v/G/TBTN23/NZL130A1.DOCX", "https://docs.wto.org/imrd/directdoc.asp?DDFDocuments/v/G/TBTN23/NZL130A1.DOCX")</f>
      </c>
    </row>
    <row r="69">
      <c r="A69" s="6" t="s">
        <v>136</v>
      </c>
      <c r="B69" s="7">
        <v>45546</v>
      </c>
      <c r="C69" s="6">
        <f>HYPERLINK("https://eping.wto.org/en/Search?viewData= G/SPS/N/PER/1061"," G/SPS/N/PER/1061")</f>
      </c>
      <c r="D69" s="8" t="s">
        <v>365</v>
      </c>
      <c r="E69" s="8" t="s">
        <v>366</v>
      </c>
      <c r="F69" s="8" t="s">
        <v>367</v>
      </c>
      <c r="G69" s="6" t="s">
        <v>368</v>
      </c>
      <c r="H69" s="6" t="s">
        <v>40</v>
      </c>
      <c r="I69" s="6" t="s">
        <v>369</v>
      </c>
      <c r="J69" s="6" t="s">
        <v>370</v>
      </c>
      <c r="K69" s="6" t="s">
        <v>124</v>
      </c>
      <c r="L69" s="7">
        <v>45606</v>
      </c>
      <c r="M69" s="6" t="s">
        <v>25</v>
      </c>
      <c r="N69" s="8" t="s">
        <v>371</v>
      </c>
      <c r="O69" s="6">
        <f>HYPERLINK("https://docs.wto.org/imrd/directdoc.asp?DDFDocuments/t/G/SPS/NPER1061.DOCX", "https://docs.wto.org/imrd/directdoc.asp?DDFDocuments/t/G/SPS/NPER1061.DOCX")</f>
      </c>
      <c r="P69" s="6">
        <f>HYPERLINK("https://docs.wto.org/imrd/directdoc.asp?DDFDocuments/u/G/SPS/NPER1061.DOCX", "https://docs.wto.org/imrd/directdoc.asp?DDFDocuments/u/G/SPS/NPER1061.DOCX")</f>
      </c>
      <c r="Q69" s="6">
        <f>HYPERLINK("https://docs.wto.org/imrd/directdoc.asp?DDFDocuments/v/G/SPS/NPER1061.DOCX", "https://docs.wto.org/imrd/directdoc.asp?DDFDocuments/v/G/SPS/NPER1061.DOCX")</f>
      </c>
    </row>
    <row r="70">
      <c r="A70" s="6" t="s">
        <v>372</v>
      </c>
      <c r="B70" s="7">
        <v>45546</v>
      </c>
      <c r="C70" s="6">
        <f>HYPERLINK("https://eping.wto.org/en/Search?viewData= G/TBT/N/ARE/625, G/TBT/N/BHR/710, G/TBT/N/KWT/689, G/TBT/N/OMN/534, G/TBT/N/QAT/685, G/TBT/N/SAU/1353, G/TBT/N/YEM/291"," G/TBT/N/ARE/625, G/TBT/N/BHR/710, G/TBT/N/KWT/689, G/TBT/N/OMN/534, G/TBT/N/QAT/685, G/TBT/N/SAU/1353, G/TBT/N/YEM/291")</f>
      </c>
      <c r="D70" s="8" t="s">
        <v>332</v>
      </c>
      <c r="E70" s="8" t="s">
        <v>333</v>
      </c>
      <c r="F70" s="8" t="s">
        <v>334</v>
      </c>
      <c r="G70" s="6" t="s">
        <v>335</v>
      </c>
      <c r="H70" s="6" t="s">
        <v>336</v>
      </c>
      <c r="I70" s="6" t="s">
        <v>337</v>
      </c>
      <c r="J70" s="6" t="s">
        <v>24</v>
      </c>
      <c r="K70" s="6"/>
      <c r="L70" s="7">
        <v>45576</v>
      </c>
      <c r="M70" s="6" t="s">
        <v>25</v>
      </c>
      <c r="N70" s="8" t="s">
        <v>338</v>
      </c>
      <c r="O70" s="6">
        <f>HYPERLINK("https://docs.wto.org/imrd/directdoc.asp?DDFDocuments/t/G/TBTN24/ARE625.DOCX", "https://docs.wto.org/imrd/directdoc.asp?DDFDocuments/t/G/TBTN24/ARE625.DOCX")</f>
      </c>
      <c r="P70" s="6">
        <f>HYPERLINK("https://docs.wto.org/imrd/directdoc.asp?DDFDocuments/u/G/TBTN24/ARE625.DOCX", "https://docs.wto.org/imrd/directdoc.asp?DDFDocuments/u/G/TBTN24/ARE625.DOCX")</f>
      </c>
      <c r="Q70" s="6">
        <f>HYPERLINK("https://docs.wto.org/imrd/directdoc.asp?DDFDocuments/v/G/TBTN24/ARE625.DOCX", "https://docs.wto.org/imrd/directdoc.asp?DDFDocuments/v/G/TBTN24/ARE625.DOCX")</f>
      </c>
    </row>
    <row r="71">
      <c r="A71" s="6" t="s">
        <v>373</v>
      </c>
      <c r="B71" s="7">
        <v>45546</v>
      </c>
      <c r="C71" s="6">
        <f>HYPERLINK("https://eping.wto.org/en/Search?viewData= G/TBT/N/ISR/1281/Add.1"," G/TBT/N/ISR/1281/Add.1")</f>
      </c>
      <c r="D71" s="8" t="s">
        <v>374</v>
      </c>
      <c r="E71" s="8" t="s">
        <v>375</v>
      </c>
      <c r="F71" s="8" t="s">
        <v>376</v>
      </c>
      <c r="G71" s="6" t="s">
        <v>377</v>
      </c>
      <c r="H71" s="6" t="s">
        <v>378</v>
      </c>
      <c r="I71" s="6" t="s">
        <v>379</v>
      </c>
      <c r="J71" s="6" t="s">
        <v>40</v>
      </c>
      <c r="K71" s="6"/>
      <c r="L71" s="7" t="s">
        <v>40</v>
      </c>
      <c r="M71" s="6" t="s">
        <v>76</v>
      </c>
      <c r="N71" s="8" t="s">
        <v>380</v>
      </c>
      <c r="O71" s="6">
        <f>HYPERLINK("https://docs.wto.org/imrd/directdoc.asp?DDFDocuments/t/G/TBTN23/ISR1281A1.DOCX", "https://docs.wto.org/imrd/directdoc.asp?DDFDocuments/t/G/TBTN23/ISR1281A1.DOCX")</f>
      </c>
      <c r="P71" s="6">
        <f>HYPERLINK("https://docs.wto.org/imrd/directdoc.asp?DDFDocuments/u/G/TBTN23/ISR1281A1.DOCX", "https://docs.wto.org/imrd/directdoc.asp?DDFDocuments/u/G/TBTN23/ISR1281A1.DOCX")</f>
      </c>
      <c r="Q71" s="6">
        <f>HYPERLINK("https://docs.wto.org/imrd/directdoc.asp?DDFDocuments/v/G/TBTN23/ISR1281A1.DOCX", "https://docs.wto.org/imrd/directdoc.asp?DDFDocuments/v/G/TBTN23/ISR1281A1.DOCX")</f>
      </c>
    </row>
    <row r="72">
      <c r="A72" s="6" t="s">
        <v>322</v>
      </c>
      <c r="B72" s="7">
        <v>45546</v>
      </c>
      <c r="C72" s="6">
        <f>HYPERLINK("https://eping.wto.org/en/Search?viewData= G/SPS/N/TPKM/624/Add.1"," G/SPS/N/TPKM/624/Add.1")</f>
      </c>
      <c r="D72" s="8" t="s">
        <v>381</v>
      </c>
      <c r="E72" s="8" t="s">
        <v>382</v>
      </c>
      <c r="F72" s="8" t="s">
        <v>383</v>
      </c>
      <c r="G72" s="6" t="s">
        <v>40</v>
      </c>
      <c r="H72" s="6" t="s">
        <v>40</v>
      </c>
      <c r="I72" s="6" t="s">
        <v>38</v>
      </c>
      <c r="J72" s="6" t="s">
        <v>384</v>
      </c>
      <c r="K72" s="6"/>
      <c r="L72" s="7" t="s">
        <v>40</v>
      </c>
      <c r="M72" s="6" t="s">
        <v>76</v>
      </c>
      <c r="N72" s="8" t="s">
        <v>385</v>
      </c>
      <c r="O72" s="6">
        <f>HYPERLINK("https://docs.wto.org/imrd/directdoc.asp?DDFDocuments/t/G/SPS/NTPKM624A1.DOCX", "https://docs.wto.org/imrd/directdoc.asp?DDFDocuments/t/G/SPS/NTPKM624A1.DOCX")</f>
      </c>
      <c r="P72" s="6">
        <f>HYPERLINK("https://docs.wto.org/imrd/directdoc.asp?DDFDocuments/u/G/SPS/NTPKM624A1.DOCX", "https://docs.wto.org/imrd/directdoc.asp?DDFDocuments/u/G/SPS/NTPKM624A1.DOCX")</f>
      </c>
      <c r="Q72" s="6">
        <f>HYPERLINK("https://docs.wto.org/imrd/directdoc.asp?DDFDocuments/v/G/SPS/NTPKM624A1.DOCX", "https://docs.wto.org/imrd/directdoc.asp?DDFDocuments/v/G/SPS/NTPKM624A1.DOCX")</f>
      </c>
    </row>
    <row r="73">
      <c r="A73" s="6" t="s">
        <v>160</v>
      </c>
      <c r="B73" s="7">
        <v>45546</v>
      </c>
      <c r="C73" s="6">
        <f>HYPERLINK("https://eping.wto.org/en/Search?viewData= G/TBT/N/USA/2147"," G/TBT/N/USA/2147")</f>
      </c>
      <c r="D73" s="8" t="s">
        <v>386</v>
      </c>
      <c r="E73" s="8" t="s">
        <v>387</v>
      </c>
      <c r="F73" s="8" t="s">
        <v>388</v>
      </c>
      <c r="G73" s="6" t="s">
        <v>40</v>
      </c>
      <c r="H73" s="6" t="s">
        <v>389</v>
      </c>
      <c r="I73" s="6" t="s">
        <v>337</v>
      </c>
      <c r="J73" s="6" t="s">
        <v>24</v>
      </c>
      <c r="K73" s="6"/>
      <c r="L73" s="7">
        <v>45608</v>
      </c>
      <c r="M73" s="6" t="s">
        <v>25</v>
      </c>
      <c r="N73" s="8" t="s">
        <v>390</v>
      </c>
      <c r="O73" s="6">
        <f>HYPERLINK("https://docs.wto.org/imrd/directdoc.asp?DDFDocuments/t/G/TBTN24/USA2147.DOCX", "https://docs.wto.org/imrd/directdoc.asp?DDFDocuments/t/G/TBTN24/USA2147.DOCX")</f>
      </c>
      <c r="P73" s="6">
        <f>HYPERLINK("https://docs.wto.org/imrd/directdoc.asp?DDFDocuments/u/G/TBTN24/USA2147.DOCX", "https://docs.wto.org/imrd/directdoc.asp?DDFDocuments/u/G/TBTN24/USA2147.DOCX")</f>
      </c>
      <c r="Q73" s="6">
        <f>HYPERLINK("https://docs.wto.org/imrd/directdoc.asp?DDFDocuments/v/G/TBTN24/USA2147.DOCX", "https://docs.wto.org/imrd/directdoc.asp?DDFDocuments/v/G/TBTN24/USA2147.DOCX")</f>
      </c>
    </row>
    <row r="74">
      <c r="A74" s="6" t="s">
        <v>391</v>
      </c>
      <c r="B74" s="7">
        <v>45546</v>
      </c>
      <c r="C74" s="6">
        <f>HYPERLINK("https://eping.wto.org/en/Search?viewData= G/TBT/N/ARE/625, G/TBT/N/BHR/710, G/TBT/N/KWT/689, G/TBT/N/OMN/534, G/TBT/N/QAT/685, G/TBT/N/SAU/1353, G/TBT/N/YEM/291"," G/TBT/N/ARE/625, G/TBT/N/BHR/710, G/TBT/N/KWT/689, G/TBT/N/OMN/534, G/TBT/N/QAT/685, G/TBT/N/SAU/1353, G/TBT/N/YEM/291")</f>
      </c>
      <c r="D74" s="8" t="s">
        <v>332</v>
      </c>
      <c r="E74" s="8" t="s">
        <v>333</v>
      </c>
      <c r="F74" s="8" t="s">
        <v>334</v>
      </c>
      <c r="G74" s="6" t="s">
        <v>335</v>
      </c>
      <c r="H74" s="6" t="s">
        <v>336</v>
      </c>
      <c r="I74" s="6" t="s">
        <v>337</v>
      </c>
      <c r="J74" s="6" t="s">
        <v>24</v>
      </c>
      <c r="K74" s="6"/>
      <c r="L74" s="7">
        <v>45576</v>
      </c>
      <c r="M74" s="6" t="s">
        <v>25</v>
      </c>
      <c r="N74" s="8" t="s">
        <v>338</v>
      </c>
      <c r="O74" s="6">
        <f>HYPERLINK("https://docs.wto.org/imrd/directdoc.asp?DDFDocuments/t/G/TBTN24/ARE625.DOCX", "https://docs.wto.org/imrd/directdoc.asp?DDFDocuments/t/G/TBTN24/ARE625.DOCX")</f>
      </c>
      <c r="P74" s="6">
        <f>HYPERLINK("https://docs.wto.org/imrd/directdoc.asp?DDFDocuments/u/G/TBTN24/ARE625.DOCX", "https://docs.wto.org/imrd/directdoc.asp?DDFDocuments/u/G/TBTN24/ARE625.DOCX")</f>
      </c>
      <c r="Q74" s="6">
        <f>HYPERLINK("https://docs.wto.org/imrd/directdoc.asp?DDFDocuments/v/G/TBTN24/ARE625.DOCX", "https://docs.wto.org/imrd/directdoc.asp?DDFDocuments/v/G/TBTN24/ARE625.DOCX")</f>
      </c>
    </row>
    <row r="75">
      <c r="A75" s="6" t="s">
        <v>392</v>
      </c>
      <c r="B75" s="7">
        <v>45546</v>
      </c>
      <c r="C75" s="6">
        <f>HYPERLINK("https://eping.wto.org/en/Search?viewData= G/TBT/N/ARE/625, G/TBT/N/BHR/710, G/TBT/N/KWT/689, G/TBT/N/OMN/534, G/TBT/N/QAT/685, G/TBT/N/SAU/1353, G/TBT/N/YEM/291"," G/TBT/N/ARE/625, G/TBT/N/BHR/710, G/TBT/N/KWT/689, G/TBT/N/OMN/534, G/TBT/N/QAT/685, G/TBT/N/SAU/1353, G/TBT/N/YEM/291")</f>
      </c>
      <c r="D75" s="8" t="s">
        <v>332</v>
      </c>
      <c r="E75" s="8" t="s">
        <v>333</v>
      </c>
      <c r="F75" s="8" t="s">
        <v>334</v>
      </c>
      <c r="G75" s="6" t="s">
        <v>335</v>
      </c>
      <c r="H75" s="6" t="s">
        <v>336</v>
      </c>
      <c r="I75" s="6" t="s">
        <v>337</v>
      </c>
      <c r="J75" s="6" t="s">
        <v>24</v>
      </c>
      <c r="K75" s="6"/>
      <c r="L75" s="7">
        <v>45576</v>
      </c>
      <c r="M75" s="6" t="s">
        <v>25</v>
      </c>
      <c r="N75" s="8" t="s">
        <v>338</v>
      </c>
      <c r="O75" s="6">
        <f>HYPERLINK("https://docs.wto.org/imrd/directdoc.asp?DDFDocuments/t/G/TBTN24/ARE625.DOCX", "https://docs.wto.org/imrd/directdoc.asp?DDFDocuments/t/G/TBTN24/ARE625.DOCX")</f>
      </c>
      <c r="P75" s="6">
        <f>HYPERLINK("https://docs.wto.org/imrd/directdoc.asp?DDFDocuments/u/G/TBTN24/ARE625.DOCX", "https://docs.wto.org/imrd/directdoc.asp?DDFDocuments/u/G/TBTN24/ARE625.DOCX")</f>
      </c>
      <c r="Q75" s="6">
        <f>HYPERLINK("https://docs.wto.org/imrd/directdoc.asp?DDFDocuments/v/G/TBTN24/ARE625.DOCX", "https://docs.wto.org/imrd/directdoc.asp?DDFDocuments/v/G/TBTN24/ARE625.DOCX")</f>
      </c>
    </row>
    <row r="76">
      <c r="A76" s="6" t="s">
        <v>393</v>
      </c>
      <c r="B76" s="7">
        <v>45546</v>
      </c>
      <c r="C76" s="6">
        <f>HYPERLINK("https://eping.wto.org/en/Search?viewData= G/TBT/N/ARE/625, G/TBT/N/BHR/710, G/TBT/N/KWT/689, G/TBT/N/OMN/534, G/TBT/N/QAT/685, G/TBT/N/SAU/1353, G/TBT/N/YEM/291"," G/TBT/N/ARE/625, G/TBT/N/BHR/710, G/TBT/N/KWT/689, G/TBT/N/OMN/534, G/TBT/N/QAT/685, G/TBT/N/SAU/1353, G/TBT/N/YEM/291")</f>
      </c>
      <c r="D76" s="8" t="s">
        <v>332</v>
      </c>
      <c r="E76" s="8" t="s">
        <v>333</v>
      </c>
      <c r="F76" s="8" t="s">
        <v>334</v>
      </c>
      <c r="G76" s="6" t="s">
        <v>335</v>
      </c>
      <c r="H76" s="6" t="s">
        <v>336</v>
      </c>
      <c r="I76" s="6" t="s">
        <v>337</v>
      </c>
      <c r="J76" s="6" t="s">
        <v>24</v>
      </c>
      <c r="K76" s="6"/>
      <c r="L76" s="7">
        <v>45576</v>
      </c>
      <c r="M76" s="6" t="s">
        <v>25</v>
      </c>
      <c r="N76" s="8" t="s">
        <v>338</v>
      </c>
      <c r="O76" s="6">
        <f>HYPERLINK("https://docs.wto.org/imrd/directdoc.asp?DDFDocuments/t/G/TBTN24/ARE625.DOCX", "https://docs.wto.org/imrd/directdoc.asp?DDFDocuments/t/G/TBTN24/ARE625.DOCX")</f>
      </c>
      <c r="P76" s="6">
        <f>HYPERLINK("https://docs.wto.org/imrd/directdoc.asp?DDFDocuments/u/G/TBTN24/ARE625.DOCX", "https://docs.wto.org/imrd/directdoc.asp?DDFDocuments/u/G/TBTN24/ARE625.DOCX")</f>
      </c>
      <c r="Q76" s="6">
        <f>HYPERLINK("https://docs.wto.org/imrd/directdoc.asp?DDFDocuments/v/G/TBTN24/ARE625.DOCX", "https://docs.wto.org/imrd/directdoc.asp?DDFDocuments/v/G/TBTN24/ARE625.DOCX")</f>
      </c>
    </row>
    <row r="77">
      <c r="A77" s="6" t="s">
        <v>373</v>
      </c>
      <c r="B77" s="7">
        <v>45546</v>
      </c>
      <c r="C77" s="6">
        <f>HYPERLINK("https://eping.wto.org/en/Search?viewData= G/TBT/N/ISR/1282/Rev.1/Add.1"," G/TBT/N/ISR/1282/Rev.1/Add.1")</f>
      </c>
      <c r="D77" s="8" t="s">
        <v>394</v>
      </c>
      <c r="E77" s="8" t="s">
        <v>395</v>
      </c>
      <c r="F77" s="8" t="s">
        <v>376</v>
      </c>
      <c r="G77" s="6" t="s">
        <v>377</v>
      </c>
      <c r="H77" s="6" t="s">
        <v>378</v>
      </c>
      <c r="I77" s="6" t="s">
        <v>379</v>
      </c>
      <c r="J77" s="6" t="s">
        <v>40</v>
      </c>
      <c r="K77" s="6"/>
      <c r="L77" s="7" t="s">
        <v>40</v>
      </c>
      <c r="M77" s="6" t="s">
        <v>76</v>
      </c>
      <c r="N77" s="8" t="s">
        <v>380</v>
      </c>
      <c r="O77" s="6">
        <f>HYPERLINK("https://docs.wto.org/imrd/directdoc.asp?DDFDocuments/t/G/TBTN23/ISR1282R1A1.DOCX", "https://docs.wto.org/imrd/directdoc.asp?DDFDocuments/t/G/TBTN23/ISR1282R1A1.DOCX")</f>
      </c>
      <c r="P77" s="6">
        <f>HYPERLINK("https://docs.wto.org/imrd/directdoc.asp?DDFDocuments/u/G/TBTN23/ISR1282R1A1.DOCX", "https://docs.wto.org/imrd/directdoc.asp?DDFDocuments/u/G/TBTN23/ISR1282R1A1.DOCX")</f>
      </c>
      <c r="Q77" s="6">
        <f>HYPERLINK("https://docs.wto.org/imrd/directdoc.asp?DDFDocuments/v/G/TBTN23/ISR1282R1A1.DOCX", "https://docs.wto.org/imrd/directdoc.asp?DDFDocuments/v/G/TBTN23/ISR1282R1A1.DOCX")</f>
      </c>
    </row>
    <row r="78">
      <c r="A78" s="6" t="s">
        <v>115</v>
      </c>
      <c r="B78" s="7">
        <v>45545</v>
      </c>
      <c r="C78" s="6">
        <f>HYPERLINK("https://eping.wto.org/en/Search?viewData= G/SPS/N/BRA/2309/Add.1"," G/SPS/N/BRA/2309/Add.1")</f>
      </c>
      <c r="D78" s="8" t="s">
        <v>396</v>
      </c>
      <c r="E78" s="8" t="s">
        <v>397</v>
      </c>
      <c r="F78" s="8" t="s">
        <v>233</v>
      </c>
      <c r="G78" s="6" t="s">
        <v>40</v>
      </c>
      <c r="H78" s="6" t="s">
        <v>398</v>
      </c>
      <c r="I78" s="6" t="s">
        <v>38</v>
      </c>
      <c r="J78" s="6" t="s">
        <v>399</v>
      </c>
      <c r="K78" s="6"/>
      <c r="L78" s="7">
        <v>45605</v>
      </c>
      <c r="M78" s="6" t="s">
        <v>76</v>
      </c>
      <c r="N78" s="8" t="s">
        <v>400</v>
      </c>
      <c r="O78" s="6">
        <f>HYPERLINK("https://docs.wto.org/imrd/directdoc.asp?DDFDocuments/t/G/SPS/NBRA2309A1.DOCX", "https://docs.wto.org/imrd/directdoc.asp?DDFDocuments/t/G/SPS/NBRA2309A1.DOCX")</f>
      </c>
      <c r="P78" s="6">
        <f>HYPERLINK("https://docs.wto.org/imrd/directdoc.asp?DDFDocuments/u/G/SPS/NBRA2309A1.DOCX", "https://docs.wto.org/imrd/directdoc.asp?DDFDocuments/u/G/SPS/NBRA2309A1.DOCX")</f>
      </c>
      <c r="Q78" s="6">
        <f>HYPERLINK("https://docs.wto.org/imrd/directdoc.asp?DDFDocuments/v/G/SPS/NBRA2309A1.DOCX", "https://docs.wto.org/imrd/directdoc.asp?DDFDocuments/v/G/SPS/NBRA2309A1.DOCX")</f>
      </c>
    </row>
    <row r="79">
      <c r="A79" s="6" t="s">
        <v>401</v>
      </c>
      <c r="B79" s="7">
        <v>45545</v>
      </c>
      <c r="C79" s="6">
        <f>HYPERLINK("https://eping.wto.org/en/Search?viewData= G/SPS/N/KOR/809"," G/SPS/N/KOR/809")</f>
      </c>
      <c r="D79" s="8" t="s">
        <v>402</v>
      </c>
      <c r="E79" s="8" t="s">
        <v>403</v>
      </c>
      <c r="F79" s="8" t="s">
        <v>404</v>
      </c>
      <c r="G79" s="6" t="s">
        <v>40</v>
      </c>
      <c r="H79" s="6" t="s">
        <v>40</v>
      </c>
      <c r="I79" s="6" t="s">
        <v>38</v>
      </c>
      <c r="J79" s="6" t="s">
        <v>60</v>
      </c>
      <c r="K79" s="6" t="s">
        <v>40</v>
      </c>
      <c r="L79" s="7">
        <v>45605</v>
      </c>
      <c r="M79" s="6" t="s">
        <v>25</v>
      </c>
      <c r="N79" s="8" t="s">
        <v>405</v>
      </c>
      <c r="O79" s="6">
        <f>HYPERLINK("https://docs.wto.org/imrd/directdoc.asp?DDFDocuments/t/G/SPS/NKOR809.DOCX", "https://docs.wto.org/imrd/directdoc.asp?DDFDocuments/t/G/SPS/NKOR809.DOCX")</f>
      </c>
      <c r="P79" s="6">
        <f>HYPERLINK("https://docs.wto.org/imrd/directdoc.asp?DDFDocuments/u/G/SPS/NKOR809.DOCX", "https://docs.wto.org/imrd/directdoc.asp?DDFDocuments/u/G/SPS/NKOR809.DOCX")</f>
      </c>
      <c r="Q79" s="6">
        <f>HYPERLINK("https://docs.wto.org/imrd/directdoc.asp?DDFDocuments/v/G/SPS/NKOR809.DOCX", "https://docs.wto.org/imrd/directdoc.asp?DDFDocuments/v/G/SPS/NKOR809.DOCX")</f>
      </c>
    </row>
    <row r="80">
      <c r="A80" s="6" t="s">
        <v>115</v>
      </c>
      <c r="B80" s="7">
        <v>45545</v>
      </c>
      <c r="C80" s="6">
        <f>HYPERLINK("https://eping.wto.org/en/Search?viewData= G/SPS/N/BRA/2328"," G/SPS/N/BRA/2328")</f>
      </c>
      <c r="D80" s="8" t="s">
        <v>406</v>
      </c>
      <c r="E80" s="8" t="s">
        <v>407</v>
      </c>
      <c r="F80" s="8" t="s">
        <v>408</v>
      </c>
      <c r="G80" s="6" t="s">
        <v>409</v>
      </c>
      <c r="H80" s="6" t="s">
        <v>40</v>
      </c>
      <c r="I80" s="6" t="s">
        <v>184</v>
      </c>
      <c r="J80" s="6" t="s">
        <v>410</v>
      </c>
      <c r="K80" s="6" t="s">
        <v>40</v>
      </c>
      <c r="L80" s="7" t="s">
        <v>40</v>
      </c>
      <c r="M80" s="6" t="s">
        <v>25</v>
      </c>
      <c r="N80" s="8" t="s">
        <v>411</v>
      </c>
      <c r="O80" s="6">
        <f>HYPERLINK("https://docs.wto.org/imrd/directdoc.asp?DDFDocuments/t/G/SPS/NBRA2328.DOCX", "https://docs.wto.org/imrd/directdoc.asp?DDFDocuments/t/G/SPS/NBRA2328.DOCX")</f>
      </c>
      <c r="P80" s="6">
        <f>HYPERLINK("https://docs.wto.org/imrd/directdoc.asp?DDFDocuments/u/G/SPS/NBRA2328.DOCX", "https://docs.wto.org/imrd/directdoc.asp?DDFDocuments/u/G/SPS/NBRA2328.DOCX")</f>
      </c>
      <c r="Q80" s="6">
        <f>HYPERLINK("https://docs.wto.org/imrd/directdoc.asp?DDFDocuments/v/G/SPS/NBRA2328.DOCX", "https://docs.wto.org/imrd/directdoc.asp?DDFDocuments/v/G/SPS/NBRA2328.DOCX")</f>
      </c>
    </row>
    <row r="81">
      <c r="A81" s="6" t="s">
        <v>412</v>
      </c>
      <c r="B81" s="7">
        <v>45545</v>
      </c>
      <c r="C81" s="6">
        <f>HYPERLINK("https://eping.wto.org/en/Search?viewData= G/SPS/N/COL/275/Add.3"," G/SPS/N/COL/275/Add.3")</f>
      </c>
      <c r="D81" s="8" t="s">
        <v>413</v>
      </c>
      <c r="E81" s="8" t="s">
        <v>413</v>
      </c>
      <c r="F81" s="8" t="s">
        <v>414</v>
      </c>
      <c r="G81" s="6" t="s">
        <v>415</v>
      </c>
      <c r="H81" s="6" t="s">
        <v>40</v>
      </c>
      <c r="I81" s="6" t="s">
        <v>416</v>
      </c>
      <c r="J81" s="6" t="s">
        <v>417</v>
      </c>
      <c r="K81" s="6"/>
      <c r="L81" s="7" t="s">
        <v>40</v>
      </c>
      <c r="M81" s="6" t="s">
        <v>76</v>
      </c>
      <c r="N81" s="8" t="s">
        <v>418</v>
      </c>
      <c r="O81" s="6">
        <f>HYPERLINK("https://docs.wto.org/imrd/directdoc.asp?DDFDocuments/t/G/SPS/NCOL275A3.DOCX", "https://docs.wto.org/imrd/directdoc.asp?DDFDocuments/t/G/SPS/NCOL275A3.DOCX")</f>
      </c>
      <c r="P81" s="6">
        <f>HYPERLINK("https://docs.wto.org/imrd/directdoc.asp?DDFDocuments/u/G/SPS/NCOL275A3.DOCX", "https://docs.wto.org/imrd/directdoc.asp?DDFDocuments/u/G/SPS/NCOL275A3.DOCX")</f>
      </c>
      <c r="Q81" s="6">
        <f>HYPERLINK("https://docs.wto.org/imrd/directdoc.asp?DDFDocuments/v/G/SPS/NCOL275A3.DOCX", "https://docs.wto.org/imrd/directdoc.asp?DDFDocuments/v/G/SPS/NCOL275A3.DOCX")</f>
      </c>
    </row>
    <row r="82">
      <c r="A82" s="6" t="s">
        <v>419</v>
      </c>
      <c r="B82" s="7">
        <v>45545</v>
      </c>
      <c r="C82" s="6">
        <f>HYPERLINK("https://eping.wto.org/en/Search?viewData= G/SPS/N/JPN/1295"," G/SPS/N/JPN/1295")</f>
      </c>
      <c r="D82" s="8" t="s">
        <v>420</v>
      </c>
      <c r="E82" s="8" t="s">
        <v>421</v>
      </c>
      <c r="F82" s="8" t="s">
        <v>422</v>
      </c>
      <c r="G82" s="6" t="s">
        <v>40</v>
      </c>
      <c r="H82" s="6" t="s">
        <v>40</v>
      </c>
      <c r="I82" s="6" t="s">
        <v>38</v>
      </c>
      <c r="J82" s="6" t="s">
        <v>60</v>
      </c>
      <c r="K82" s="6" t="s">
        <v>40</v>
      </c>
      <c r="L82" s="7">
        <v>45720</v>
      </c>
      <c r="M82" s="6" t="s">
        <v>25</v>
      </c>
      <c r="N82" s="8" t="s">
        <v>423</v>
      </c>
      <c r="O82" s="6">
        <f>HYPERLINK("https://docs.wto.org/imrd/directdoc.asp?DDFDocuments/t/G/SPS/NJPN1295.DOCX", "https://docs.wto.org/imrd/directdoc.asp?DDFDocuments/t/G/SPS/NJPN1295.DOCX")</f>
      </c>
      <c r="P82" s="6">
        <f>HYPERLINK("https://docs.wto.org/imrd/directdoc.asp?DDFDocuments/u/G/SPS/NJPN1295.DOCX", "https://docs.wto.org/imrd/directdoc.asp?DDFDocuments/u/G/SPS/NJPN1295.DOCX")</f>
      </c>
      <c r="Q82" s="6">
        <f>HYPERLINK("https://docs.wto.org/imrd/directdoc.asp?DDFDocuments/v/G/SPS/NJPN1295.DOCX", "https://docs.wto.org/imrd/directdoc.asp?DDFDocuments/v/G/SPS/NJPN1295.DOCX")</f>
      </c>
    </row>
    <row r="83">
      <c r="A83" s="6" t="s">
        <v>419</v>
      </c>
      <c r="B83" s="7">
        <v>45545</v>
      </c>
      <c r="C83" s="6">
        <f>HYPERLINK("https://eping.wto.org/en/Search?viewData= G/SPS/N/JPN/1294"," G/SPS/N/JPN/1294")</f>
      </c>
      <c r="D83" s="8" t="s">
        <v>424</v>
      </c>
      <c r="E83" s="8" t="s">
        <v>425</v>
      </c>
      <c r="F83" s="8" t="s">
        <v>426</v>
      </c>
      <c r="G83" s="6" t="s">
        <v>40</v>
      </c>
      <c r="H83" s="6" t="s">
        <v>40</v>
      </c>
      <c r="I83" s="6" t="s">
        <v>38</v>
      </c>
      <c r="J83" s="6" t="s">
        <v>60</v>
      </c>
      <c r="K83" s="6" t="s">
        <v>40</v>
      </c>
      <c r="L83" s="7">
        <v>45605</v>
      </c>
      <c r="M83" s="6" t="s">
        <v>25</v>
      </c>
      <c r="N83" s="8" t="s">
        <v>427</v>
      </c>
      <c r="O83" s="6">
        <f>HYPERLINK("https://docs.wto.org/imrd/directdoc.asp?DDFDocuments/t/G/SPS/NJPN1294.DOCX", "https://docs.wto.org/imrd/directdoc.asp?DDFDocuments/t/G/SPS/NJPN1294.DOCX")</f>
      </c>
      <c r="P83" s="6">
        <f>HYPERLINK("https://docs.wto.org/imrd/directdoc.asp?DDFDocuments/u/G/SPS/NJPN1294.DOCX", "https://docs.wto.org/imrd/directdoc.asp?DDFDocuments/u/G/SPS/NJPN1294.DOCX")</f>
      </c>
      <c r="Q83" s="6">
        <f>HYPERLINK("https://docs.wto.org/imrd/directdoc.asp?DDFDocuments/v/G/SPS/NJPN1294.DOCX", "https://docs.wto.org/imrd/directdoc.asp?DDFDocuments/v/G/SPS/NJPN1294.DOCX")</f>
      </c>
    </row>
    <row r="84">
      <c r="A84" s="6" t="s">
        <v>115</v>
      </c>
      <c r="B84" s="7">
        <v>45545</v>
      </c>
      <c r="C84" s="6">
        <f>HYPERLINK("https://eping.wto.org/en/Search?viewData= G/TBT/N/BRA/1418/Add.1"," G/TBT/N/BRA/1418/Add.1")</f>
      </c>
      <c r="D84" s="8" t="s">
        <v>428</v>
      </c>
      <c r="E84" s="8" t="s">
        <v>429</v>
      </c>
      <c r="F84" s="8" t="s">
        <v>430</v>
      </c>
      <c r="G84" s="6" t="s">
        <v>40</v>
      </c>
      <c r="H84" s="6" t="s">
        <v>431</v>
      </c>
      <c r="I84" s="6" t="s">
        <v>147</v>
      </c>
      <c r="J84" s="6" t="s">
        <v>122</v>
      </c>
      <c r="K84" s="6"/>
      <c r="L84" s="7" t="s">
        <v>40</v>
      </c>
      <c r="M84" s="6" t="s">
        <v>76</v>
      </c>
      <c r="N84" s="8" t="s">
        <v>432</v>
      </c>
      <c r="O84" s="6">
        <f>HYPERLINK("https://docs.wto.org/imrd/directdoc.asp?DDFDocuments/t/G/TBTN22/BRA1418A1.DOCX", "https://docs.wto.org/imrd/directdoc.asp?DDFDocuments/t/G/TBTN22/BRA1418A1.DOCX")</f>
      </c>
      <c r="P84" s="6">
        <f>HYPERLINK("https://docs.wto.org/imrd/directdoc.asp?DDFDocuments/u/G/TBTN22/BRA1418A1.DOCX", "https://docs.wto.org/imrd/directdoc.asp?DDFDocuments/u/G/TBTN22/BRA1418A1.DOCX")</f>
      </c>
      <c r="Q84" s="6">
        <f>HYPERLINK("https://docs.wto.org/imrd/directdoc.asp?DDFDocuments/v/G/TBTN22/BRA1418A1.DOCX", "https://docs.wto.org/imrd/directdoc.asp?DDFDocuments/v/G/TBTN22/BRA1418A1.DOCX")</f>
      </c>
    </row>
    <row r="85">
      <c r="A85" s="6" t="s">
        <v>180</v>
      </c>
      <c r="B85" s="7">
        <v>45545</v>
      </c>
      <c r="C85" s="6">
        <f>HYPERLINK("https://eping.wto.org/en/Search?viewData= G/SPS/N/CRI/281"," G/SPS/N/CRI/281")</f>
      </c>
      <c r="D85" s="8" t="s">
        <v>433</v>
      </c>
      <c r="E85" s="8" t="s">
        <v>434</v>
      </c>
      <c r="F85" s="8" t="s">
        <v>435</v>
      </c>
      <c r="G85" s="6" t="s">
        <v>436</v>
      </c>
      <c r="H85" s="6" t="s">
        <v>40</v>
      </c>
      <c r="I85" s="6" t="s">
        <v>184</v>
      </c>
      <c r="J85" s="6" t="s">
        <v>410</v>
      </c>
      <c r="K85" s="6" t="s">
        <v>437</v>
      </c>
      <c r="L85" s="7">
        <v>45605</v>
      </c>
      <c r="M85" s="6" t="s">
        <v>25</v>
      </c>
      <c r="N85" s="8" t="s">
        <v>438</v>
      </c>
      <c r="O85" s="6">
        <f>HYPERLINK("https://docs.wto.org/imrd/directdoc.asp?DDFDocuments/t/G/SPS/NCRI281.DOCX", "https://docs.wto.org/imrd/directdoc.asp?DDFDocuments/t/G/SPS/NCRI281.DOCX")</f>
      </c>
      <c r="P85" s="6">
        <f>HYPERLINK("https://docs.wto.org/imrd/directdoc.asp?DDFDocuments/u/G/SPS/NCRI281.DOCX", "https://docs.wto.org/imrd/directdoc.asp?DDFDocuments/u/G/SPS/NCRI281.DOCX")</f>
      </c>
      <c r="Q85" s="6">
        <f>HYPERLINK("https://docs.wto.org/imrd/directdoc.asp?DDFDocuments/v/G/SPS/NCRI281.DOCX", "https://docs.wto.org/imrd/directdoc.asp?DDFDocuments/v/G/SPS/NCRI281.DOCX")</f>
      </c>
    </row>
    <row r="86">
      <c r="A86" s="6" t="s">
        <v>180</v>
      </c>
      <c r="B86" s="7">
        <v>45545</v>
      </c>
      <c r="C86" s="6">
        <f>HYPERLINK("https://eping.wto.org/en/Search?viewData= G/SPS/N/CRI/282"," G/SPS/N/CRI/282")</f>
      </c>
      <c r="D86" s="8" t="s">
        <v>439</v>
      </c>
      <c r="E86" s="8" t="s">
        <v>440</v>
      </c>
      <c r="F86" s="8" t="s">
        <v>441</v>
      </c>
      <c r="G86" s="6" t="s">
        <v>409</v>
      </c>
      <c r="H86" s="6" t="s">
        <v>40</v>
      </c>
      <c r="I86" s="6" t="s">
        <v>184</v>
      </c>
      <c r="J86" s="6" t="s">
        <v>410</v>
      </c>
      <c r="K86" s="6" t="s">
        <v>442</v>
      </c>
      <c r="L86" s="7">
        <v>45605</v>
      </c>
      <c r="M86" s="6" t="s">
        <v>25</v>
      </c>
      <c r="N86" s="8" t="s">
        <v>443</v>
      </c>
      <c r="O86" s="6">
        <f>HYPERLINK("https://docs.wto.org/imrd/directdoc.asp?DDFDocuments/t/G/SPS/NCRI282.DOCX", "https://docs.wto.org/imrd/directdoc.asp?DDFDocuments/t/G/SPS/NCRI282.DOCX")</f>
      </c>
      <c r="P86" s="6">
        <f>HYPERLINK("https://docs.wto.org/imrd/directdoc.asp?DDFDocuments/u/G/SPS/NCRI282.DOCX", "https://docs.wto.org/imrd/directdoc.asp?DDFDocuments/u/G/SPS/NCRI282.DOCX")</f>
      </c>
      <c r="Q86" s="6">
        <f>HYPERLINK("https://docs.wto.org/imrd/directdoc.asp?DDFDocuments/v/G/SPS/NCRI282.DOCX", "https://docs.wto.org/imrd/directdoc.asp?DDFDocuments/v/G/SPS/NCRI282.DOCX")</f>
      </c>
    </row>
    <row r="87">
      <c r="A87" s="6" t="s">
        <v>344</v>
      </c>
      <c r="B87" s="7">
        <v>45545</v>
      </c>
      <c r="C87" s="6">
        <f>HYPERLINK("https://eping.wto.org/en/Search?viewData= G/TBT/N/ARE/624, G/TBT/N/BHR/709, G/TBT/N/KWT/688, G/TBT/N/OMN/533, G/TBT/N/QAT/684, G/TBT/N/SAU/1352, G/TBT/N/YEM/290"," G/TBT/N/ARE/624, G/TBT/N/BHR/709, G/TBT/N/KWT/688, G/TBT/N/OMN/533, G/TBT/N/QAT/684, G/TBT/N/SAU/1352, G/TBT/N/YEM/290")</f>
      </c>
      <c r="D87" s="8" t="s">
        <v>444</v>
      </c>
      <c r="E87" s="8" t="s">
        <v>445</v>
      </c>
      <c r="F87" s="8" t="s">
        <v>446</v>
      </c>
      <c r="G87" s="6" t="s">
        <v>447</v>
      </c>
      <c r="H87" s="6" t="s">
        <v>448</v>
      </c>
      <c r="I87" s="6" t="s">
        <v>142</v>
      </c>
      <c r="J87" s="6" t="s">
        <v>24</v>
      </c>
      <c r="K87" s="6"/>
      <c r="L87" s="7">
        <v>45606</v>
      </c>
      <c r="M87" s="6" t="s">
        <v>25</v>
      </c>
      <c r="N87" s="8" t="s">
        <v>449</v>
      </c>
      <c r="O87" s="6">
        <f>HYPERLINK("https://docs.wto.org/imrd/directdoc.asp?DDFDocuments/t/G/TBTN24/ARE624.DOCX", "https://docs.wto.org/imrd/directdoc.asp?DDFDocuments/t/G/TBTN24/ARE624.DOCX")</f>
      </c>
      <c r="P87" s="6">
        <f>HYPERLINK("https://docs.wto.org/imrd/directdoc.asp?DDFDocuments/u/G/TBTN24/ARE624.DOCX", "https://docs.wto.org/imrd/directdoc.asp?DDFDocuments/u/G/TBTN24/ARE624.DOCX")</f>
      </c>
      <c r="Q87" s="6">
        <f>HYPERLINK("https://docs.wto.org/imrd/directdoc.asp?DDFDocuments/v/G/TBTN24/ARE624.DOCX", "https://docs.wto.org/imrd/directdoc.asp?DDFDocuments/v/G/TBTN24/ARE624.DOCX")</f>
      </c>
    </row>
    <row r="88">
      <c r="A88" s="6" t="s">
        <v>450</v>
      </c>
      <c r="B88" s="7">
        <v>45545</v>
      </c>
      <c r="C88" s="6">
        <f>HYPERLINK("https://eping.wto.org/en/Search?viewData= G/TBT/N/EGY/480"," G/TBT/N/EGY/480")</f>
      </c>
      <c r="D88" s="8" t="s">
        <v>451</v>
      </c>
      <c r="E88" s="8" t="s">
        <v>452</v>
      </c>
      <c r="F88" s="8" t="s">
        <v>453</v>
      </c>
      <c r="G88" s="6" t="s">
        <v>40</v>
      </c>
      <c r="H88" s="6" t="s">
        <v>454</v>
      </c>
      <c r="I88" s="6" t="s">
        <v>245</v>
      </c>
      <c r="J88" s="6" t="s">
        <v>40</v>
      </c>
      <c r="K88" s="6"/>
      <c r="L88" s="7">
        <v>45605</v>
      </c>
      <c r="M88" s="6" t="s">
        <v>25</v>
      </c>
      <c r="N88" s="6"/>
      <c r="O88" s="6">
        <f>HYPERLINK("https://docs.wto.org/imrd/directdoc.asp?DDFDocuments/t/G/TBTN24/EGY480.DOCX", "https://docs.wto.org/imrd/directdoc.asp?DDFDocuments/t/G/TBTN24/EGY480.DOCX")</f>
      </c>
      <c r="P88" s="6">
        <f>HYPERLINK("https://docs.wto.org/imrd/directdoc.asp?DDFDocuments/u/G/TBTN24/EGY480.DOCX", "https://docs.wto.org/imrd/directdoc.asp?DDFDocuments/u/G/TBTN24/EGY480.DOCX")</f>
      </c>
      <c r="Q88" s="6">
        <f>HYPERLINK("https://docs.wto.org/imrd/directdoc.asp?DDFDocuments/v/G/TBTN24/EGY480.DOCX", "https://docs.wto.org/imrd/directdoc.asp?DDFDocuments/v/G/TBTN24/EGY480.DOCX")</f>
      </c>
    </row>
    <row r="89">
      <c r="A89" s="6" t="s">
        <v>198</v>
      </c>
      <c r="B89" s="7">
        <v>45545</v>
      </c>
      <c r="C89" s="6">
        <f>HYPERLINK("https://eping.wto.org/en/Search?viewData= G/SPS/N/CHL/727/Rev.1/Add.1"," G/SPS/N/CHL/727/Rev.1/Add.1")</f>
      </c>
      <c r="D89" s="8" t="s">
        <v>455</v>
      </c>
      <c r="E89" s="8" t="s">
        <v>455</v>
      </c>
      <c r="F89" s="8" t="s">
        <v>456</v>
      </c>
      <c r="G89" s="6" t="s">
        <v>40</v>
      </c>
      <c r="H89" s="6" t="s">
        <v>40</v>
      </c>
      <c r="I89" s="6" t="s">
        <v>369</v>
      </c>
      <c r="J89" s="6" t="s">
        <v>457</v>
      </c>
      <c r="K89" s="6"/>
      <c r="L89" s="7">
        <v>45578</v>
      </c>
      <c r="M89" s="6" t="s">
        <v>76</v>
      </c>
      <c r="N89" s="8" t="s">
        <v>458</v>
      </c>
      <c r="O89" s="6">
        <f>HYPERLINK("https://docs.wto.org/imrd/directdoc.asp?DDFDocuments/t/G/SPS/NCHL727R1A1.DOCX", "https://docs.wto.org/imrd/directdoc.asp?DDFDocuments/t/G/SPS/NCHL727R1A1.DOCX")</f>
      </c>
      <c r="P89" s="6">
        <f>HYPERLINK("https://docs.wto.org/imrd/directdoc.asp?DDFDocuments/u/G/SPS/NCHL727R1A1.DOCX", "https://docs.wto.org/imrd/directdoc.asp?DDFDocuments/u/G/SPS/NCHL727R1A1.DOCX")</f>
      </c>
      <c r="Q89" s="6">
        <f>HYPERLINK("https://docs.wto.org/imrd/directdoc.asp?DDFDocuments/v/G/SPS/NCHL727R1A1.DOCX", "https://docs.wto.org/imrd/directdoc.asp?DDFDocuments/v/G/SPS/NCHL727R1A1.DOCX")</f>
      </c>
    </row>
    <row r="90">
      <c r="A90" s="6" t="s">
        <v>160</v>
      </c>
      <c r="B90" s="7">
        <v>45545</v>
      </c>
      <c r="C90" s="6">
        <f>HYPERLINK("https://eping.wto.org/en/Search?viewData= G/TBT/N/USA/1742/Rev.1"," G/TBT/N/USA/1742/Rev.1")</f>
      </c>
      <c r="D90" s="8" t="s">
        <v>459</v>
      </c>
      <c r="E90" s="8" t="s">
        <v>460</v>
      </c>
      <c r="F90" s="8" t="s">
        <v>461</v>
      </c>
      <c r="G90" s="6" t="s">
        <v>40</v>
      </c>
      <c r="H90" s="6" t="s">
        <v>229</v>
      </c>
      <c r="I90" s="6" t="s">
        <v>462</v>
      </c>
      <c r="J90" s="6" t="s">
        <v>40</v>
      </c>
      <c r="K90" s="6"/>
      <c r="L90" s="7">
        <v>45572</v>
      </c>
      <c r="M90" s="6" t="s">
        <v>214</v>
      </c>
      <c r="N90" s="8" t="s">
        <v>463</v>
      </c>
      <c r="O90" s="6">
        <f>HYPERLINK("https://docs.wto.org/imrd/directdoc.asp?DDFDocuments/t/G/TBTN21/USA1742R1.DOCX", "https://docs.wto.org/imrd/directdoc.asp?DDFDocuments/t/G/TBTN21/USA1742R1.DOCX")</f>
      </c>
      <c r="P90" s="6">
        <f>HYPERLINK("https://docs.wto.org/imrd/directdoc.asp?DDFDocuments/u/G/TBTN21/USA1742R1.DOCX", "https://docs.wto.org/imrd/directdoc.asp?DDFDocuments/u/G/TBTN21/USA1742R1.DOCX")</f>
      </c>
      <c r="Q90" s="6">
        <f>HYPERLINK("https://docs.wto.org/imrd/directdoc.asp?DDFDocuments/v/G/TBTN21/USA1742R1.DOCX", "https://docs.wto.org/imrd/directdoc.asp?DDFDocuments/v/G/TBTN21/USA1742R1.DOCX")</f>
      </c>
    </row>
    <row r="91">
      <c r="A91" s="6" t="s">
        <v>89</v>
      </c>
      <c r="B91" s="7">
        <v>45545</v>
      </c>
      <c r="C91" s="6">
        <f>HYPERLINK("https://eping.wto.org/en/Search?viewData= G/TBT/N/ECU/526/Add.1"," G/TBT/N/ECU/526/Add.1")</f>
      </c>
      <c r="D91" s="8" t="s">
        <v>464</v>
      </c>
      <c r="E91" s="8" t="s">
        <v>465</v>
      </c>
      <c r="F91" s="8" t="s">
        <v>466</v>
      </c>
      <c r="G91" s="6" t="s">
        <v>40</v>
      </c>
      <c r="H91" s="6" t="s">
        <v>467</v>
      </c>
      <c r="I91" s="6" t="s">
        <v>94</v>
      </c>
      <c r="J91" s="6" t="s">
        <v>40</v>
      </c>
      <c r="K91" s="6"/>
      <c r="L91" s="7" t="s">
        <v>40</v>
      </c>
      <c r="M91" s="6" t="s">
        <v>76</v>
      </c>
      <c r="N91" s="8" t="s">
        <v>468</v>
      </c>
      <c r="O91" s="6">
        <f>HYPERLINK("https://docs.wto.org/imrd/directdoc.asp?DDFDocuments/t/G/TBTN24/ECU526A1.DOCX", "https://docs.wto.org/imrd/directdoc.asp?DDFDocuments/t/G/TBTN24/ECU526A1.DOCX")</f>
      </c>
      <c r="P91" s="6">
        <f>HYPERLINK("https://docs.wto.org/imrd/directdoc.asp?DDFDocuments/u/G/TBTN24/ECU526A1.DOCX", "https://docs.wto.org/imrd/directdoc.asp?DDFDocuments/u/G/TBTN24/ECU526A1.DOCX")</f>
      </c>
      <c r="Q91" s="6">
        <f>HYPERLINK("https://docs.wto.org/imrd/directdoc.asp?DDFDocuments/v/G/TBTN24/ECU526A1.DOCX", "https://docs.wto.org/imrd/directdoc.asp?DDFDocuments/v/G/TBTN24/ECU526A1.DOCX")</f>
      </c>
    </row>
    <row r="92">
      <c r="A92" s="6" t="s">
        <v>419</v>
      </c>
      <c r="B92" s="7">
        <v>45545</v>
      </c>
      <c r="C92" s="6">
        <f>HYPERLINK("https://eping.wto.org/en/Search?viewData= G/TBT/N/JPN/828"," G/TBT/N/JPN/828")</f>
      </c>
      <c r="D92" s="8" t="s">
        <v>469</v>
      </c>
      <c r="E92" s="8" t="s">
        <v>470</v>
      </c>
      <c r="F92" s="8" t="s">
        <v>426</v>
      </c>
      <c r="G92" s="6" t="s">
        <v>40</v>
      </c>
      <c r="H92" s="6" t="s">
        <v>471</v>
      </c>
      <c r="I92" s="6" t="s">
        <v>142</v>
      </c>
      <c r="J92" s="6" t="s">
        <v>24</v>
      </c>
      <c r="K92" s="6"/>
      <c r="L92" s="7">
        <v>45605</v>
      </c>
      <c r="M92" s="6" t="s">
        <v>25</v>
      </c>
      <c r="N92" s="8" t="s">
        <v>472</v>
      </c>
      <c r="O92" s="6">
        <f>HYPERLINK("https://docs.wto.org/imrd/directdoc.asp?DDFDocuments/t/G/TBTN24/JPN828.DOCX", "https://docs.wto.org/imrd/directdoc.asp?DDFDocuments/t/G/TBTN24/JPN828.DOCX")</f>
      </c>
      <c r="P92" s="6">
        <f>HYPERLINK("https://docs.wto.org/imrd/directdoc.asp?DDFDocuments/u/G/TBTN24/JPN828.DOCX", "https://docs.wto.org/imrd/directdoc.asp?DDFDocuments/u/G/TBTN24/JPN828.DOCX")</f>
      </c>
      <c r="Q92" s="6">
        <f>HYPERLINK("https://docs.wto.org/imrd/directdoc.asp?DDFDocuments/v/G/TBTN24/JPN828.DOCX", "https://docs.wto.org/imrd/directdoc.asp?DDFDocuments/v/G/TBTN24/JPN828.DOCX")</f>
      </c>
    </row>
    <row r="93">
      <c r="A93" s="6" t="s">
        <v>124</v>
      </c>
      <c r="B93" s="7">
        <v>45545</v>
      </c>
      <c r="C93" s="6">
        <f>HYPERLINK("https://eping.wto.org/en/Search?viewData= G/TBT/N/ARG/329/Add.2"," G/TBT/N/ARG/329/Add.2")</f>
      </c>
      <c r="D93" s="8" t="s">
        <v>473</v>
      </c>
      <c r="E93" s="8" t="s">
        <v>474</v>
      </c>
      <c r="F93" s="8" t="s">
        <v>475</v>
      </c>
      <c r="G93" s="6" t="s">
        <v>40</v>
      </c>
      <c r="H93" s="6" t="s">
        <v>476</v>
      </c>
      <c r="I93" s="6" t="s">
        <v>191</v>
      </c>
      <c r="J93" s="6" t="s">
        <v>40</v>
      </c>
      <c r="K93" s="6"/>
      <c r="L93" s="7" t="s">
        <v>40</v>
      </c>
      <c r="M93" s="6" t="s">
        <v>76</v>
      </c>
      <c r="N93" s="6"/>
      <c r="O93" s="6">
        <f>HYPERLINK("https://docs.wto.org/imrd/directdoc.asp?DDFDocuments/t/G/TBTN17/ARG329A2.DOCX", "https://docs.wto.org/imrd/directdoc.asp?DDFDocuments/t/G/TBTN17/ARG329A2.DOCX")</f>
      </c>
      <c r="P93" s="6">
        <f>HYPERLINK("https://docs.wto.org/imrd/directdoc.asp?DDFDocuments/u/G/TBTN17/ARG329A2.DOCX", "https://docs.wto.org/imrd/directdoc.asp?DDFDocuments/u/G/TBTN17/ARG329A2.DOCX")</f>
      </c>
      <c r="Q93" s="6">
        <f>HYPERLINK("https://docs.wto.org/imrd/directdoc.asp?DDFDocuments/v/G/TBTN17/ARG329A2.DOCX", "https://docs.wto.org/imrd/directdoc.asp?DDFDocuments/v/G/TBTN17/ARG329A2.DOCX")</f>
      </c>
    </row>
    <row r="94">
      <c r="A94" s="6" t="s">
        <v>160</v>
      </c>
      <c r="B94" s="7">
        <v>45545</v>
      </c>
      <c r="C94" s="6">
        <f>HYPERLINK("https://eping.wto.org/en/Search?viewData= G/SPS/N/USA/3475"," G/SPS/N/USA/3475")</f>
      </c>
      <c r="D94" s="8" t="s">
        <v>477</v>
      </c>
      <c r="E94" s="8" t="s">
        <v>478</v>
      </c>
      <c r="F94" s="8" t="s">
        <v>479</v>
      </c>
      <c r="G94" s="6" t="s">
        <v>40</v>
      </c>
      <c r="H94" s="6" t="s">
        <v>40</v>
      </c>
      <c r="I94" s="6" t="s">
        <v>38</v>
      </c>
      <c r="J94" s="6" t="s">
        <v>103</v>
      </c>
      <c r="K94" s="6"/>
      <c r="L94" s="7" t="s">
        <v>40</v>
      </c>
      <c r="M94" s="6" t="s">
        <v>25</v>
      </c>
      <c r="N94" s="8" t="s">
        <v>480</v>
      </c>
      <c r="O94" s="6">
        <f>HYPERLINK("https://docs.wto.org/imrd/directdoc.asp?DDFDocuments/t/G/SPS/NUSA3475.DOCX", "https://docs.wto.org/imrd/directdoc.asp?DDFDocuments/t/G/SPS/NUSA3475.DOCX")</f>
      </c>
      <c r="P94" s="6">
        <f>HYPERLINK("https://docs.wto.org/imrd/directdoc.asp?DDFDocuments/u/G/SPS/NUSA3475.DOCX", "https://docs.wto.org/imrd/directdoc.asp?DDFDocuments/u/G/SPS/NUSA3475.DOCX")</f>
      </c>
      <c r="Q94" s="6">
        <f>HYPERLINK("https://docs.wto.org/imrd/directdoc.asp?DDFDocuments/v/G/SPS/NUSA3475.DOCX", "https://docs.wto.org/imrd/directdoc.asp?DDFDocuments/v/G/SPS/NUSA3475.DOCX")</f>
      </c>
    </row>
    <row r="95">
      <c r="A95" s="6" t="s">
        <v>115</v>
      </c>
      <c r="B95" s="7">
        <v>45545</v>
      </c>
      <c r="C95" s="6">
        <f>HYPERLINK("https://eping.wto.org/en/Search?viewData= G/SPS/N/BRA/2103/Add.1"," G/SPS/N/BRA/2103/Add.1")</f>
      </c>
      <c r="D95" s="8" t="s">
        <v>481</v>
      </c>
      <c r="E95" s="8" t="s">
        <v>482</v>
      </c>
      <c r="F95" s="8" t="s">
        <v>483</v>
      </c>
      <c r="G95" s="6" t="s">
        <v>40</v>
      </c>
      <c r="H95" s="6" t="s">
        <v>431</v>
      </c>
      <c r="I95" s="6" t="s">
        <v>38</v>
      </c>
      <c r="J95" s="6" t="s">
        <v>484</v>
      </c>
      <c r="K95" s="6"/>
      <c r="L95" s="7">
        <v>45605</v>
      </c>
      <c r="M95" s="6" t="s">
        <v>76</v>
      </c>
      <c r="N95" s="8" t="s">
        <v>485</v>
      </c>
      <c r="O95" s="6">
        <f>HYPERLINK("https://docs.wto.org/imrd/directdoc.asp?DDFDocuments/t/G/SPS/NBRA2103A1.DOCX", "https://docs.wto.org/imrd/directdoc.asp?DDFDocuments/t/G/SPS/NBRA2103A1.DOCX")</f>
      </c>
      <c r="P95" s="6">
        <f>HYPERLINK("https://docs.wto.org/imrd/directdoc.asp?DDFDocuments/u/G/SPS/NBRA2103A1.DOCX", "https://docs.wto.org/imrd/directdoc.asp?DDFDocuments/u/G/SPS/NBRA2103A1.DOCX")</f>
      </c>
      <c r="Q95" s="6">
        <f>HYPERLINK("https://docs.wto.org/imrd/directdoc.asp?DDFDocuments/v/G/SPS/NBRA2103A1.DOCX", "https://docs.wto.org/imrd/directdoc.asp?DDFDocuments/v/G/SPS/NBRA2103A1.DOCX")</f>
      </c>
    </row>
    <row r="96">
      <c r="A96" s="6" t="s">
        <v>160</v>
      </c>
      <c r="B96" s="7">
        <v>45545</v>
      </c>
      <c r="C96" s="6">
        <f>HYPERLINK("https://eping.wto.org/en/Search?viewData= G/TBT/N/USA/2143"," G/TBT/N/USA/2143")</f>
      </c>
      <c r="D96" s="8" t="s">
        <v>486</v>
      </c>
      <c r="E96" s="8" t="s">
        <v>487</v>
      </c>
      <c r="F96" s="8" t="s">
        <v>488</v>
      </c>
      <c r="G96" s="6" t="s">
        <v>40</v>
      </c>
      <c r="H96" s="6" t="s">
        <v>489</v>
      </c>
      <c r="I96" s="6" t="s">
        <v>213</v>
      </c>
      <c r="J96" s="6" t="s">
        <v>40</v>
      </c>
      <c r="K96" s="6"/>
      <c r="L96" s="7">
        <v>45583</v>
      </c>
      <c r="M96" s="6" t="s">
        <v>25</v>
      </c>
      <c r="N96" s="8" t="s">
        <v>490</v>
      </c>
      <c r="O96" s="6">
        <f>HYPERLINK("https://docs.wto.org/imrd/directdoc.asp?DDFDocuments/t/G/TBTN24/USA2143.DOCX", "https://docs.wto.org/imrd/directdoc.asp?DDFDocuments/t/G/TBTN24/USA2143.DOCX")</f>
      </c>
      <c r="P96" s="6">
        <f>HYPERLINK("https://docs.wto.org/imrd/directdoc.asp?DDFDocuments/u/G/TBTN24/USA2143.DOCX", "https://docs.wto.org/imrd/directdoc.asp?DDFDocuments/u/G/TBTN24/USA2143.DOCX")</f>
      </c>
      <c r="Q96" s="6">
        <f>HYPERLINK("https://docs.wto.org/imrd/directdoc.asp?DDFDocuments/v/G/TBTN24/USA2143.DOCX", "https://docs.wto.org/imrd/directdoc.asp?DDFDocuments/v/G/TBTN24/USA2143.DOCX")</f>
      </c>
    </row>
    <row r="97">
      <c r="A97" s="6" t="s">
        <v>180</v>
      </c>
      <c r="B97" s="7">
        <v>45545</v>
      </c>
      <c r="C97" s="6">
        <f>HYPERLINK("https://eping.wto.org/en/Search?viewData= G/SPS/N/CRI/278/Add.1"," G/SPS/N/CRI/278/Add.1")</f>
      </c>
      <c r="D97" s="8" t="s">
        <v>491</v>
      </c>
      <c r="E97" s="8" t="s">
        <v>491</v>
      </c>
      <c r="F97" s="8" t="s">
        <v>492</v>
      </c>
      <c r="G97" s="6" t="s">
        <v>493</v>
      </c>
      <c r="H97" s="6" t="s">
        <v>40</v>
      </c>
      <c r="I97" s="6" t="s">
        <v>184</v>
      </c>
      <c r="J97" s="6" t="s">
        <v>494</v>
      </c>
      <c r="K97" s="6"/>
      <c r="L97" s="7" t="s">
        <v>40</v>
      </c>
      <c r="M97" s="6" t="s">
        <v>76</v>
      </c>
      <c r="N97" s="8" t="s">
        <v>495</v>
      </c>
      <c r="O97" s="6">
        <f>HYPERLINK("https://docs.wto.org/imrd/directdoc.asp?DDFDocuments/t/G/SPS/NCRI278A1.DOCX", "https://docs.wto.org/imrd/directdoc.asp?DDFDocuments/t/G/SPS/NCRI278A1.DOCX")</f>
      </c>
      <c r="P97" s="6">
        <f>HYPERLINK("https://docs.wto.org/imrd/directdoc.asp?DDFDocuments/u/G/SPS/NCRI278A1.DOCX", "https://docs.wto.org/imrd/directdoc.asp?DDFDocuments/u/G/SPS/NCRI278A1.DOCX")</f>
      </c>
      <c r="Q97" s="6">
        <f>HYPERLINK("https://docs.wto.org/imrd/directdoc.asp?DDFDocuments/v/G/SPS/NCRI278A1.DOCX", "https://docs.wto.org/imrd/directdoc.asp?DDFDocuments/v/G/SPS/NCRI278A1.DOCX")</f>
      </c>
    </row>
    <row r="98">
      <c r="A98" s="6" t="s">
        <v>180</v>
      </c>
      <c r="B98" s="7">
        <v>45545</v>
      </c>
      <c r="C98" s="6">
        <f>HYPERLINK("https://eping.wto.org/en/Search?viewData= G/SPS/N/CRI/283"," G/SPS/N/CRI/283")</f>
      </c>
      <c r="D98" s="8" t="s">
        <v>496</v>
      </c>
      <c r="E98" s="8" t="s">
        <v>497</v>
      </c>
      <c r="F98" s="8" t="s">
        <v>441</v>
      </c>
      <c r="G98" s="6" t="s">
        <v>409</v>
      </c>
      <c r="H98" s="6" t="s">
        <v>40</v>
      </c>
      <c r="I98" s="6" t="s">
        <v>184</v>
      </c>
      <c r="J98" s="6" t="s">
        <v>410</v>
      </c>
      <c r="K98" s="6" t="s">
        <v>136</v>
      </c>
      <c r="L98" s="7">
        <v>45605</v>
      </c>
      <c r="M98" s="6" t="s">
        <v>25</v>
      </c>
      <c r="N98" s="8" t="s">
        <v>498</v>
      </c>
      <c r="O98" s="6">
        <f>HYPERLINK("https://docs.wto.org/imrd/directdoc.asp?DDFDocuments/t/G/SPS/NCRI283.DOCX", "https://docs.wto.org/imrd/directdoc.asp?DDFDocuments/t/G/SPS/NCRI283.DOCX")</f>
      </c>
      <c r="P98" s="6">
        <f>HYPERLINK("https://docs.wto.org/imrd/directdoc.asp?DDFDocuments/u/G/SPS/NCRI283.DOCX", "https://docs.wto.org/imrd/directdoc.asp?DDFDocuments/u/G/SPS/NCRI283.DOCX")</f>
      </c>
      <c r="Q98" s="6">
        <f>HYPERLINK("https://docs.wto.org/imrd/directdoc.asp?DDFDocuments/v/G/SPS/NCRI283.DOCX", "https://docs.wto.org/imrd/directdoc.asp?DDFDocuments/v/G/SPS/NCRI283.DOCX")</f>
      </c>
    </row>
    <row r="99">
      <c r="A99" s="6" t="s">
        <v>160</v>
      </c>
      <c r="B99" s="7">
        <v>45545</v>
      </c>
      <c r="C99" s="6">
        <f>HYPERLINK("https://eping.wto.org/en/Search?viewData= G/TBT/N/USA/2145"," G/TBT/N/USA/2145")</f>
      </c>
      <c r="D99" s="8" t="s">
        <v>499</v>
      </c>
      <c r="E99" s="8" t="s">
        <v>500</v>
      </c>
      <c r="F99" s="8" t="s">
        <v>501</v>
      </c>
      <c r="G99" s="6" t="s">
        <v>40</v>
      </c>
      <c r="H99" s="6" t="s">
        <v>502</v>
      </c>
      <c r="I99" s="6" t="s">
        <v>503</v>
      </c>
      <c r="J99" s="6" t="s">
        <v>40</v>
      </c>
      <c r="K99" s="6"/>
      <c r="L99" s="7">
        <v>45601</v>
      </c>
      <c r="M99" s="6" t="s">
        <v>25</v>
      </c>
      <c r="N99" s="8" t="s">
        <v>504</v>
      </c>
      <c r="O99" s="6">
        <f>HYPERLINK("https://docs.wto.org/imrd/directdoc.asp?DDFDocuments/t/G/TBTN24/USA2145.DOCX", "https://docs.wto.org/imrd/directdoc.asp?DDFDocuments/t/G/TBTN24/USA2145.DOCX")</f>
      </c>
      <c r="P99" s="6">
        <f>HYPERLINK("https://docs.wto.org/imrd/directdoc.asp?DDFDocuments/u/G/TBTN24/USA2145.DOCX", "https://docs.wto.org/imrd/directdoc.asp?DDFDocuments/u/G/TBTN24/USA2145.DOCX")</f>
      </c>
      <c r="Q99" s="6">
        <f>HYPERLINK("https://docs.wto.org/imrd/directdoc.asp?DDFDocuments/v/G/TBTN24/USA2145.DOCX", "https://docs.wto.org/imrd/directdoc.asp?DDFDocuments/v/G/TBTN24/USA2145.DOCX")</f>
      </c>
    </row>
    <row r="100">
      <c r="A100" s="6" t="s">
        <v>89</v>
      </c>
      <c r="B100" s="7">
        <v>45545</v>
      </c>
      <c r="C100" s="6">
        <f>HYPERLINK("https://eping.wto.org/en/Search?viewData= G/TBT/N/ECU/546"," G/TBT/N/ECU/546")</f>
      </c>
      <c r="D100" s="8" t="s">
        <v>505</v>
      </c>
      <c r="E100" s="8" t="s">
        <v>506</v>
      </c>
      <c r="F100" s="8" t="s">
        <v>507</v>
      </c>
      <c r="G100" s="6" t="s">
        <v>40</v>
      </c>
      <c r="H100" s="6" t="s">
        <v>508</v>
      </c>
      <c r="I100" s="6" t="s">
        <v>94</v>
      </c>
      <c r="J100" s="6" t="s">
        <v>178</v>
      </c>
      <c r="K100" s="6"/>
      <c r="L100" s="7">
        <v>45605</v>
      </c>
      <c r="M100" s="6" t="s">
        <v>25</v>
      </c>
      <c r="N100" s="8" t="s">
        <v>509</v>
      </c>
      <c r="O100" s="6">
        <f>HYPERLINK("https://docs.wto.org/imrd/directdoc.asp?DDFDocuments/t/G/TBTN24/ECU546.DOCX", "https://docs.wto.org/imrd/directdoc.asp?DDFDocuments/t/G/TBTN24/ECU546.DOCX")</f>
      </c>
      <c r="P100" s="6">
        <f>HYPERLINK("https://docs.wto.org/imrd/directdoc.asp?DDFDocuments/u/G/TBTN24/ECU546.DOCX", "https://docs.wto.org/imrd/directdoc.asp?DDFDocuments/u/G/TBTN24/ECU546.DOCX")</f>
      </c>
      <c r="Q100" s="6">
        <f>HYPERLINK("https://docs.wto.org/imrd/directdoc.asp?DDFDocuments/v/G/TBTN24/ECU546.DOCX", "https://docs.wto.org/imrd/directdoc.asp?DDFDocuments/v/G/TBTN24/ECU546.DOCX")</f>
      </c>
    </row>
    <row r="101">
      <c r="A101" s="6" t="s">
        <v>391</v>
      </c>
      <c r="B101" s="7">
        <v>45545</v>
      </c>
      <c r="C101" s="6">
        <f>HYPERLINK("https://eping.wto.org/en/Search?viewData= G/TBT/N/ARE/624, G/TBT/N/BHR/709, G/TBT/N/KWT/688, G/TBT/N/OMN/533, G/TBT/N/QAT/684, G/TBT/N/SAU/1352, G/TBT/N/YEM/290"," G/TBT/N/ARE/624, G/TBT/N/BHR/709, G/TBT/N/KWT/688, G/TBT/N/OMN/533, G/TBT/N/QAT/684, G/TBT/N/SAU/1352, G/TBT/N/YEM/290")</f>
      </c>
      <c r="D101" s="8" t="s">
        <v>444</v>
      </c>
      <c r="E101" s="8" t="s">
        <v>445</v>
      </c>
      <c r="F101" s="8" t="s">
        <v>446</v>
      </c>
      <c r="G101" s="6" t="s">
        <v>447</v>
      </c>
      <c r="H101" s="6" t="s">
        <v>448</v>
      </c>
      <c r="I101" s="6" t="s">
        <v>142</v>
      </c>
      <c r="J101" s="6" t="s">
        <v>24</v>
      </c>
      <c r="K101" s="6"/>
      <c r="L101" s="7">
        <v>45606</v>
      </c>
      <c r="M101" s="6" t="s">
        <v>25</v>
      </c>
      <c r="N101" s="8" t="s">
        <v>449</v>
      </c>
      <c r="O101" s="6">
        <f>HYPERLINK("https://docs.wto.org/imrd/directdoc.asp?DDFDocuments/t/G/TBTN24/ARE624.DOCX", "https://docs.wto.org/imrd/directdoc.asp?DDFDocuments/t/G/TBTN24/ARE624.DOCX")</f>
      </c>
      <c r="P101" s="6">
        <f>HYPERLINK("https://docs.wto.org/imrd/directdoc.asp?DDFDocuments/u/G/TBTN24/ARE624.DOCX", "https://docs.wto.org/imrd/directdoc.asp?DDFDocuments/u/G/TBTN24/ARE624.DOCX")</f>
      </c>
      <c r="Q101" s="6">
        <f>HYPERLINK("https://docs.wto.org/imrd/directdoc.asp?DDFDocuments/v/G/TBTN24/ARE624.DOCX", "https://docs.wto.org/imrd/directdoc.asp?DDFDocuments/v/G/TBTN24/ARE624.DOCX")</f>
      </c>
    </row>
    <row r="102">
      <c r="A102" s="6" t="s">
        <v>160</v>
      </c>
      <c r="B102" s="7">
        <v>45545</v>
      </c>
      <c r="C102" s="6">
        <f>HYPERLINK("https://eping.wto.org/en/Search?viewData= G/TBT/N/USA/2087/Add.2"," G/TBT/N/USA/2087/Add.2")</f>
      </c>
      <c r="D102" s="8" t="s">
        <v>510</v>
      </c>
      <c r="E102" s="8" t="s">
        <v>511</v>
      </c>
      <c r="F102" s="8" t="s">
        <v>512</v>
      </c>
      <c r="G102" s="6" t="s">
        <v>40</v>
      </c>
      <c r="H102" s="6" t="s">
        <v>513</v>
      </c>
      <c r="I102" s="6" t="s">
        <v>147</v>
      </c>
      <c r="J102" s="6" t="s">
        <v>40</v>
      </c>
      <c r="K102" s="6"/>
      <c r="L102" s="7" t="s">
        <v>40</v>
      </c>
      <c r="M102" s="6" t="s">
        <v>76</v>
      </c>
      <c r="N102" s="8" t="s">
        <v>514</v>
      </c>
      <c r="O102" s="6">
        <f>HYPERLINK("https://docs.wto.org/imrd/directdoc.asp?DDFDocuments/t/G/TBTN24/USA2087A2.DOCX", "https://docs.wto.org/imrd/directdoc.asp?DDFDocuments/t/G/TBTN24/USA2087A2.DOCX")</f>
      </c>
      <c r="P102" s="6">
        <f>HYPERLINK("https://docs.wto.org/imrd/directdoc.asp?DDFDocuments/u/G/TBTN24/USA2087A2.DOCX", "https://docs.wto.org/imrd/directdoc.asp?DDFDocuments/u/G/TBTN24/USA2087A2.DOCX")</f>
      </c>
      <c r="Q102" s="6">
        <f>HYPERLINK("https://docs.wto.org/imrd/directdoc.asp?DDFDocuments/v/G/TBTN24/USA2087A2.DOCX", "https://docs.wto.org/imrd/directdoc.asp?DDFDocuments/v/G/TBTN24/USA2087A2.DOCX")</f>
      </c>
    </row>
    <row r="103">
      <c r="A103" s="6" t="s">
        <v>515</v>
      </c>
      <c r="B103" s="7">
        <v>45545</v>
      </c>
      <c r="C103" s="6">
        <f>HYPERLINK("https://eping.wto.org/en/Search?viewData= G/SPS/N/EU/794"," G/SPS/N/EU/794")</f>
      </c>
      <c r="D103" s="8" t="s">
        <v>516</v>
      </c>
      <c r="E103" s="8" t="s">
        <v>517</v>
      </c>
      <c r="F103" s="8" t="s">
        <v>518</v>
      </c>
      <c r="G103" s="6" t="s">
        <v>40</v>
      </c>
      <c r="H103" s="6" t="s">
        <v>40</v>
      </c>
      <c r="I103" s="6" t="s">
        <v>38</v>
      </c>
      <c r="J103" s="6" t="s">
        <v>39</v>
      </c>
      <c r="K103" s="6"/>
      <c r="L103" s="7">
        <v>45605</v>
      </c>
      <c r="M103" s="6" t="s">
        <v>25</v>
      </c>
      <c r="N103" s="8" t="s">
        <v>519</v>
      </c>
      <c r="O103" s="6">
        <f>HYPERLINK("https://docs.wto.org/imrd/directdoc.asp?DDFDocuments/t/G/SPS/NEU794.DOCX", "https://docs.wto.org/imrd/directdoc.asp?DDFDocuments/t/G/SPS/NEU794.DOCX")</f>
      </c>
      <c r="P103" s="6">
        <f>HYPERLINK("https://docs.wto.org/imrd/directdoc.asp?DDFDocuments/u/G/SPS/NEU794.DOCX", "https://docs.wto.org/imrd/directdoc.asp?DDFDocuments/u/G/SPS/NEU794.DOCX")</f>
      </c>
      <c r="Q103" s="6">
        <f>HYPERLINK("https://docs.wto.org/imrd/directdoc.asp?DDFDocuments/v/G/SPS/NEU794.DOCX", "https://docs.wto.org/imrd/directdoc.asp?DDFDocuments/v/G/SPS/NEU794.DOCX")</f>
      </c>
    </row>
    <row r="104">
      <c r="A104" s="6" t="s">
        <v>450</v>
      </c>
      <c r="B104" s="7">
        <v>45545</v>
      </c>
      <c r="C104" s="6">
        <f>HYPERLINK("https://eping.wto.org/en/Search?viewData= G/TBT/N/EGY/482"," G/TBT/N/EGY/482")</f>
      </c>
      <c r="D104" s="8" t="s">
        <v>520</v>
      </c>
      <c r="E104" s="8" t="s">
        <v>521</v>
      </c>
      <c r="F104" s="8" t="s">
        <v>453</v>
      </c>
      <c r="G104" s="6" t="s">
        <v>40</v>
      </c>
      <c r="H104" s="6" t="s">
        <v>454</v>
      </c>
      <c r="I104" s="6" t="s">
        <v>245</v>
      </c>
      <c r="J104" s="6" t="s">
        <v>40</v>
      </c>
      <c r="K104" s="6"/>
      <c r="L104" s="7">
        <v>45605</v>
      </c>
      <c r="M104" s="6" t="s">
        <v>25</v>
      </c>
      <c r="N104" s="6"/>
      <c r="O104" s="6">
        <f>HYPERLINK("https://docs.wto.org/imrd/directdoc.asp?DDFDocuments/t/G/TBTN24/EGY482.DOCX", "https://docs.wto.org/imrd/directdoc.asp?DDFDocuments/t/G/TBTN24/EGY482.DOCX")</f>
      </c>
      <c r="P104" s="6">
        <f>HYPERLINK("https://docs.wto.org/imrd/directdoc.asp?DDFDocuments/u/G/TBTN24/EGY482.DOCX", "https://docs.wto.org/imrd/directdoc.asp?DDFDocuments/u/G/TBTN24/EGY482.DOCX")</f>
      </c>
      <c r="Q104" s="6">
        <f>HYPERLINK("https://docs.wto.org/imrd/directdoc.asp?DDFDocuments/v/G/TBTN24/EGY482.DOCX", "https://docs.wto.org/imrd/directdoc.asp?DDFDocuments/v/G/TBTN24/EGY482.DOCX")</f>
      </c>
    </row>
    <row r="105">
      <c r="A105" s="6" t="s">
        <v>160</v>
      </c>
      <c r="B105" s="7">
        <v>45545</v>
      </c>
      <c r="C105" s="6">
        <f>HYPERLINK("https://eping.wto.org/en/Search?viewData= G/SPS/N/USA/3476"," G/SPS/N/USA/3476")</f>
      </c>
      <c r="D105" s="8" t="s">
        <v>522</v>
      </c>
      <c r="E105" s="8" t="s">
        <v>523</v>
      </c>
      <c r="F105" s="8" t="s">
        <v>479</v>
      </c>
      <c r="G105" s="6" t="s">
        <v>40</v>
      </c>
      <c r="H105" s="6" t="s">
        <v>40</v>
      </c>
      <c r="I105" s="6" t="s">
        <v>38</v>
      </c>
      <c r="J105" s="6" t="s">
        <v>103</v>
      </c>
      <c r="K105" s="6" t="s">
        <v>40</v>
      </c>
      <c r="L105" s="7">
        <v>45561</v>
      </c>
      <c r="M105" s="6" t="s">
        <v>25</v>
      </c>
      <c r="N105" s="8" t="s">
        <v>524</v>
      </c>
      <c r="O105" s="6">
        <f>HYPERLINK("https://docs.wto.org/imrd/directdoc.asp?DDFDocuments/t/G/SPS/NUSA3476.DOCX", "https://docs.wto.org/imrd/directdoc.asp?DDFDocuments/t/G/SPS/NUSA3476.DOCX")</f>
      </c>
      <c r="P105" s="6">
        <f>HYPERLINK("https://docs.wto.org/imrd/directdoc.asp?DDFDocuments/u/G/SPS/NUSA3476.DOCX", "https://docs.wto.org/imrd/directdoc.asp?DDFDocuments/u/G/SPS/NUSA3476.DOCX")</f>
      </c>
      <c r="Q105" s="6">
        <f>HYPERLINK("https://docs.wto.org/imrd/directdoc.asp?DDFDocuments/v/G/SPS/NUSA3476.DOCX", "https://docs.wto.org/imrd/directdoc.asp?DDFDocuments/v/G/SPS/NUSA3476.DOCX")</f>
      </c>
    </row>
    <row r="106">
      <c r="A106" s="6" t="s">
        <v>372</v>
      </c>
      <c r="B106" s="7">
        <v>45545</v>
      </c>
      <c r="C106" s="6">
        <f>HYPERLINK("https://eping.wto.org/en/Search?viewData= G/TBT/N/ARE/624, G/TBT/N/BHR/709, G/TBT/N/KWT/688, G/TBT/N/OMN/533, G/TBT/N/QAT/684, G/TBT/N/SAU/1352, G/TBT/N/YEM/290"," G/TBT/N/ARE/624, G/TBT/N/BHR/709, G/TBT/N/KWT/688, G/TBT/N/OMN/533, G/TBT/N/QAT/684, G/TBT/N/SAU/1352, G/TBT/N/YEM/290")</f>
      </c>
      <c r="D106" s="8" t="s">
        <v>444</v>
      </c>
      <c r="E106" s="8" t="s">
        <v>445</v>
      </c>
      <c r="F106" s="8" t="s">
        <v>446</v>
      </c>
      <c r="G106" s="6" t="s">
        <v>447</v>
      </c>
      <c r="H106" s="6" t="s">
        <v>448</v>
      </c>
      <c r="I106" s="6" t="s">
        <v>142</v>
      </c>
      <c r="J106" s="6" t="s">
        <v>24</v>
      </c>
      <c r="K106" s="6"/>
      <c r="L106" s="7">
        <v>45606</v>
      </c>
      <c r="M106" s="6" t="s">
        <v>25</v>
      </c>
      <c r="N106" s="8" t="s">
        <v>449</v>
      </c>
      <c r="O106" s="6">
        <f>HYPERLINK("https://docs.wto.org/imrd/directdoc.asp?DDFDocuments/t/G/TBTN24/ARE624.DOCX", "https://docs.wto.org/imrd/directdoc.asp?DDFDocuments/t/G/TBTN24/ARE624.DOCX")</f>
      </c>
      <c r="P106" s="6">
        <f>HYPERLINK("https://docs.wto.org/imrd/directdoc.asp?DDFDocuments/u/G/TBTN24/ARE624.DOCX", "https://docs.wto.org/imrd/directdoc.asp?DDFDocuments/u/G/TBTN24/ARE624.DOCX")</f>
      </c>
      <c r="Q106" s="6">
        <f>HYPERLINK("https://docs.wto.org/imrd/directdoc.asp?DDFDocuments/v/G/TBTN24/ARE624.DOCX", "https://docs.wto.org/imrd/directdoc.asp?DDFDocuments/v/G/TBTN24/ARE624.DOCX")</f>
      </c>
    </row>
    <row r="107">
      <c r="A107" s="6" t="s">
        <v>393</v>
      </c>
      <c r="B107" s="7">
        <v>45545</v>
      </c>
      <c r="C107" s="6">
        <f>HYPERLINK("https://eping.wto.org/en/Search?viewData= G/TBT/N/ARE/624, G/TBT/N/BHR/709, G/TBT/N/KWT/688, G/TBT/N/OMN/533, G/TBT/N/QAT/684, G/TBT/N/SAU/1352, G/TBT/N/YEM/290"," G/TBT/N/ARE/624, G/TBT/N/BHR/709, G/TBT/N/KWT/688, G/TBT/N/OMN/533, G/TBT/N/QAT/684, G/TBT/N/SAU/1352, G/TBT/N/YEM/290")</f>
      </c>
      <c r="D107" s="8" t="s">
        <v>444</v>
      </c>
      <c r="E107" s="8" t="s">
        <v>445</v>
      </c>
      <c r="F107" s="8" t="s">
        <v>446</v>
      </c>
      <c r="G107" s="6" t="s">
        <v>447</v>
      </c>
      <c r="H107" s="6" t="s">
        <v>448</v>
      </c>
      <c r="I107" s="6" t="s">
        <v>142</v>
      </c>
      <c r="J107" s="6" t="s">
        <v>24</v>
      </c>
      <c r="K107" s="6"/>
      <c r="L107" s="7">
        <v>45606</v>
      </c>
      <c r="M107" s="6" t="s">
        <v>25</v>
      </c>
      <c r="N107" s="8" t="s">
        <v>449</v>
      </c>
      <c r="O107" s="6">
        <f>HYPERLINK("https://docs.wto.org/imrd/directdoc.asp?DDFDocuments/t/G/TBTN24/ARE624.DOCX", "https://docs.wto.org/imrd/directdoc.asp?DDFDocuments/t/G/TBTN24/ARE624.DOCX")</f>
      </c>
      <c r="P107" s="6">
        <f>HYPERLINK("https://docs.wto.org/imrd/directdoc.asp?DDFDocuments/u/G/TBTN24/ARE624.DOCX", "https://docs.wto.org/imrd/directdoc.asp?DDFDocuments/u/G/TBTN24/ARE624.DOCX")</f>
      </c>
      <c r="Q107" s="6">
        <f>HYPERLINK("https://docs.wto.org/imrd/directdoc.asp?DDFDocuments/v/G/TBTN24/ARE624.DOCX", "https://docs.wto.org/imrd/directdoc.asp?DDFDocuments/v/G/TBTN24/ARE624.DOCX")</f>
      </c>
    </row>
    <row r="108">
      <c r="A108" s="6" t="s">
        <v>180</v>
      </c>
      <c r="B108" s="7">
        <v>45545</v>
      </c>
      <c r="C108" s="6">
        <f>HYPERLINK("https://eping.wto.org/en/Search?viewData= G/SPS/N/CRI/277/Add.1"," G/SPS/N/CRI/277/Add.1")</f>
      </c>
      <c r="D108" s="8" t="s">
        <v>525</v>
      </c>
      <c r="E108" s="8" t="s">
        <v>525</v>
      </c>
      <c r="F108" s="8" t="s">
        <v>526</v>
      </c>
      <c r="G108" s="6" t="s">
        <v>493</v>
      </c>
      <c r="H108" s="6" t="s">
        <v>40</v>
      </c>
      <c r="I108" s="6" t="s">
        <v>184</v>
      </c>
      <c r="J108" s="6" t="s">
        <v>527</v>
      </c>
      <c r="K108" s="6"/>
      <c r="L108" s="7" t="s">
        <v>40</v>
      </c>
      <c r="M108" s="6" t="s">
        <v>76</v>
      </c>
      <c r="N108" s="8" t="s">
        <v>528</v>
      </c>
      <c r="O108" s="6">
        <f>HYPERLINK("https://docs.wto.org/imrd/directdoc.asp?DDFDocuments/t/G/SPS/NCRI277A1.DOCX", "https://docs.wto.org/imrd/directdoc.asp?DDFDocuments/t/G/SPS/NCRI277A1.DOCX")</f>
      </c>
      <c r="P108" s="6">
        <f>HYPERLINK("https://docs.wto.org/imrd/directdoc.asp?DDFDocuments/u/G/SPS/NCRI277A1.DOCX", "https://docs.wto.org/imrd/directdoc.asp?DDFDocuments/u/G/SPS/NCRI277A1.DOCX")</f>
      </c>
      <c r="Q108" s="6">
        <f>HYPERLINK("https://docs.wto.org/imrd/directdoc.asp?DDFDocuments/v/G/SPS/NCRI277A1.DOCX", "https://docs.wto.org/imrd/directdoc.asp?DDFDocuments/v/G/SPS/NCRI277A1.DOCX")</f>
      </c>
    </row>
    <row r="109">
      <c r="A109" s="6" t="s">
        <v>124</v>
      </c>
      <c r="B109" s="7">
        <v>45545</v>
      </c>
      <c r="C109" s="6">
        <f>HYPERLINK("https://eping.wto.org/en/Search?viewData= G/TBT/N/ARG/339/Add.6"," G/TBT/N/ARG/339/Add.6")</f>
      </c>
      <c r="D109" s="8" t="s">
        <v>529</v>
      </c>
      <c r="E109" s="8" t="s">
        <v>530</v>
      </c>
      <c r="F109" s="8" t="s">
        <v>531</v>
      </c>
      <c r="G109" s="6" t="s">
        <v>532</v>
      </c>
      <c r="H109" s="6" t="s">
        <v>533</v>
      </c>
      <c r="I109" s="6" t="s">
        <v>534</v>
      </c>
      <c r="J109" s="6" t="s">
        <v>40</v>
      </c>
      <c r="K109" s="6"/>
      <c r="L109" s="7" t="s">
        <v>40</v>
      </c>
      <c r="M109" s="6" t="s">
        <v>76</v>
      </c>
      <c r="N109" s="6"/>
      <c r="O109" s="6">
        <f>HYPERLINK("https://docs.wto.org/imrd/directdoc.asp?DDFDocuments/t/G/TBTN24/ARG339A6.DOCX", "https://docs.wto.org/imrd/directdoc.asp?DDFDocuments/t/G/TBTN24/ARG339A6.DOCX")</f>
      </c>
      <c r="P109" s="6">
        <f>HYPERLINK("https://docs.wto.org/imrd/directdoc.asp?DDFDocuments/u/G/TBTN24/ARG339A6.DOCX", "https://docs.wto.org/imrd/directdoc.asp?DDFDocuments/u/G/TBTN24/ARG339A6.DOCX")</f>
      </c>
      <c r="Q109" s="6">
        <f>HYPERLINK("https://docs.wto.org/imrd/directdoc.asp?DDFDocuments/v/G/TBTN24/ARG339A6.DOCX", "https://docs.wto.org/imrd/directdoc.asp?DDFDocuments/v/G/TBTN24/ARG339A6.DOCX")</f>
      </c>
    </row>
    <row r="110">
      <c r="A110" s="6" t="s">
        <v>348</v>
      </c>
      <c r="B110" s="7">
        <v>45545</v>
      </c>
      <c r="C110" s="6">
        <f>HYPERLINK("https://eping.wto.org/en/Search?viewData= G/SPS/N/RUS/290"," G/SPS/N/RUS/290")</f>
      </c>
      <c r="D110" s="8" t="s">
        <v>535</v>
      </c>
      <c r="E110" s="8" t="s">
        <v>536</v>
      </c>
      <c r="F110" s="8" t="s">
        <v>537</v>
      </c>
      <c r="G110" s="6" t="s">
        <v>538</v>
      </c>
      <c r="H110" s="6" t="s">
        <v>40</v>
      </c>
      <c r="I110" s="6" t="s">
        <v>353</v>
      </c>
      <c r="J110" s="6" t="s">
        <v>539</v>
      </c>
      <c r="K110" s="6" t="s">
        <v>540</v>
      </c>
      <c r="L110" s="7" t="s">
        <v>40</v>
      </c>
      <c r="M110" s="6" t="s">
        <v>356</v>
      </c>
      <c r="N110" s="8" t="s">
        <v>541</v>
      </c>
      <c r="O110" s="6">
        <f>HYPERLINK("https://docs.wto.org/imrd/directdoc.asp?DDFDocuments/t/G/SPS/NRUS290.DOCX", "https://docs.wto.org/imrd/directdoc.asp?DDFDocuments/t/G/SPS/NRUS290.DOCX")</f>
      </c>
      <c r="P110" s="6">
        <f>HYPERLINK("https://docs.wto.org/imrd/directdoc.asp?DDFDocuments/u/G/SPS/NRUS290.DOCX", "https://docs.wto.org/imrd/directdoc.asp?DDFDocuments/u/G/SPS/NRUS290.DOCX")</f>
      </c>
      <c r="Q110" s="6">
        <f>HYPERLINK("https://docs.wto.org/imrd/directdoc.asp?DDFDocuments/v/G/SPS/NRUS290.DOCX", "https://docs.wto.org/imrd/directdoc.asp?DDFDocuments/v/G/SPS/NRUS290.DOCX")</f>
      </c>
    </row>
    <row r="111">
      <c r="A111" s="6" t="s">
        <v>160</v>
      </c>
      <c r="B111" s="7">
        <v>45545</v>
      </c>
      <c r="C111" s="6">
        <f>HYPERLINK("https://eping.wto.org/en/Search?viewData= G/TBT/N/USA/1872/Add.1"," G/TBT/N/USA/1872/Add.1")</f>
      </c>
      <c r="D111" s="8" t="s">
        <v>542</v>
      </c>
      <c r="E111" s="8" t="s">
        <v>543</v>
      </c>
      <c r="F111" s="8" t="s">
        <v>544</v>
      </c>
      <c r="G111" s="6" t="s">
        <v>40</v>
      </c>
      <c r="H111" s="6" t="s">
        <v>545</v>
      </c>
      <c r="I111" s="6" t="s">
        <v>121</v>
      </c>
      <c r="J111" s="6" t="s">
        <v>122</v>
      </c>
      <c r="K111" s="6"/>
      <c r="L111" s="7">
        <v>45574</v>
      </c>
      <c r="M111" s="6" t="s">
        <v>76</v>
      </c>
      <c r="N111" s="8" t="s">
        <v>546</v>
      </c>
      <c r="O111" s="6">
        <f>HYPERLINK("https://docs.wto.org/imrd/directdoc.asp?DDFDocuments/t/G/TBTN22/USA1872A1.DOCX", "https://docs.wto.org/imrd/directdoc.asp?DDFDocuments/t/G/TBTN22/USA1872A1.DOCX")</f>
      </c>
      <c r="P111" s="6">
        <f>HYPERLINK("https://docs.wto.org/imrd/directdoc.asp?DDFDocuments/u/G/TBTN22/USA1872A1.DOCX", "https://docs.wto.org/imrd/directdoc.asp?DDFDocuments/u/G/TBTN22/USA1872A1.DOCX")</f>
      </c>
      <c r="Q111" s="6">
        <f>HYPERLINK("https://docs.wto.org/imrd/directdoc.asp?DDFDocuments/v/G/TBTN22/USA1872A1.DOCX", "https://docs.wto.org/imrd/directdoc.asp?DDFDocuments/v/G/TBTN22/USA1872A1.DOCX")</f>
      </c>
    </row>
    <row r="112">
      <c r="A112" s="6" t="s">
        <v>124</v>
      </c>
      <c r="B112" s="7">
        <v>45545</v>
      </c>
      <c r="C112" s="6">
        <f>HYPERLINK("https://eping.wto.org/en/Search?viewData= G/TBT/N/ARG/324/Add.1"," G/TBT/N/ARG/324/Add.1")</f>
      </c>
      <c r="D112" s="8" t="s">
        <v>547</v>
      </c>
      <c r="E112" s="8" t="s">
        <v>548</v>
      </c>
      <c r="F112" s="8" t="s">
        <v>549</v>
      </c>
      <c r="G112" s="6" t="s">
        <v>40</v>
      </c>
      <c r="H112" s="6" t="s">
        <v>550</v>
      </c>
      <c r="I112" s="6" t="s">
        <v>147</v>
      </c>
      <c r="J112" s="6" t="s">
        <v>40</v>
      </c>
      <c r="K112" s="6"/>
      <c r="L112" s="7" t="s">
        <v>40</v>
      </c>
      <c r="M112" s="6" t="s">
        <v>76</v>
      </c>
      <c r="N112" s="6"/>
      <c r="O112" s="6">
        <f>HYPERLINK("https://docs.wto.org/imrd/directdoc.asp?DDFDocuments/t/G/TBTN17/ARG324A1.DOCX", "https://docs.wto.org/imrd/directdoc.asp?DDFDocuments/t/G/TBTN17/ARG324A1.DOCX")</f>
      </c>
      <c r="P112" s="6">
        <f>HYPERLINK("https://docs.wto.org/imrd/directdoc.asp?DDFDocuments/u/G/TBTN17/ARG324A1.DOCX", "https://docs.wto.org/imrd/directdoc.asp?DDFDocuments/u/G/TBTN17/ARG324A1.DOCX")</f>
      </c>
      <c r="Q112" s="6">
        <f>HYPERLINK("https://docs.wto.org/imrd/directdoc.asp?DDFDocuments/v/G/TBTN17/ARG324A1.DOCX", "https://docs.wto.org/imrd/directdoc.asp?DDFDocuments/v/G/TBTN17/ARG324A1.DOCX")</f>
      </c>
    </row>
    <row r="113">
      <c r="A113" s="6" t="s">
        <v>160</v>
      </c>
      <c r="B113" s="7">
        <v>45545</v>
      </c>
      <c r="C113" s="6">
        <f>HYPERLINK("https://eping.wto.org/en/Search?viewData= G/TBT/N/USA/1742/Add.4"," G/TBT/N/USA/1742/Add.4")</f>
      </c>
      <c r="D113" s="8" t="s">
        <v>459</v>
      </c>
      <c r="E113" s="8" t="s">
        <v>551</v>
      </c>
      <c r="F113" s="8" t="s">
        <v>552</v>
      </c>
      <c r="G113" s="6" t="s">
        <v>40</v>
      </c>
      <c r="H113" s="6" t="s">
        <v>164</v>
      </c>
      <c r="I113" s="6" t="s">
        <v>462</v>
      </c>
      <c r="J113" s="6" t="s">
        <v>40</v>
      </c>
      <c r="K113" s="6"/>
      <c r="L113" s="7">
        <v>45572</v>
      </c>
      <c r="M113" s="6" t="s">
        <v>76</v>
      </c>
      <c r="N113" s="8" t="s">
        <v>553</v>
      </c>
      <c r="O113" s="6">
        <f>HYPERLINK("https://docs.wto.org/imrd/directdoc.asp?DDFDocuments/t/G/TBTN21/USA1742A4.DOCX", "https://docs.wto.org/imrd/directdoc.asp?DDFDocuments/t/G/TBTN21/USA1742A4.DOCX")</f>
      </c>
      <c r="P113" s="6">
        <f>HYPERLINK("https://docs.wto.org/imrd/directdoc.asp?DDFDocuments/u/G/TBTN21/USA1742A4.DOCX", "https://docs.wto.org/imrd/directdoc.asp?DDFDocuments/u/G/TBTN21/USA1742A4.DOCX")</f>
      </c>
      <c r="Q113" s="6">
        <f>HYPERLINK("https://docs.wto.org/imrd/directdoc.asp?DDFDocuments/v/G/TBTN21/USA1742A4.DOCX", "https://docs.wto.org/imrd/directdoc.asp?DDFDocuments/v/G/TBTN21/USA1742A4.DOCX")</f>
      </c>
    </row>
    <row r="114">
      <c r="A114" s="6" t="s">
        <v>450</v>
      </c>
      <c r="B114" s="7">
        <v>45545</v>
      </c>
      <c r="C114" s="6">
        <f>HYPERLINK("https://eping.wto.org/en/Search?viewData= G/TBT/N/EGY/481"," G/TBT/N/EGY/481")</f>
      </c>
      <c r="D114" s="8" t="s">
        <v>554</v>
      </c>
      <c r="E114" s="8" t="s">
        <v>555</v>
      </c>
      <c r="F114" s="8" t="s">
        <v>453</v>
      </c>
      <c r="G114" s="6" t="s">
        <v>40</v>
      </c>
      <c r="H114" s="6" t="s">
        <v>454</v>
      </c>
      <c r="I114" s="6" t="s">
        <v>245</v>
      </c>
      <c r="J114" s="6" t="s">
        <v>40</v>
      </c>
      <c r="K114" s="6"/>
      <c r="L114" s="7">
        <v>45605</v>
      </c>
      <c r="M114" s="6" t="s">
        <v>25</v>
      </c>
      <c r="N114" s="6"/>
      <c r="O114" s="6">
        <f>HYPERLINK("https://docs.wto.org/imrd/directdoc.asp?DDFDocuments/t/G/TBTN24/EGY481.DOCX", "https://docs.wto.org/imrd/directdoc.asp?DDFDocuments/t/G/TBTN24/EGY481.DOCX")</f>
      </c>
      <c r="P114" s="6">
        <f>HYPERLINK("https://docs.wto.org/imrd/directdoc.asp?DDFDocuments/u/G/TBTN24/EGY481.DOCX", "https://docs.wto.org/imrd/directdoc.asp?DDFDocuments/u/G/TBTN24/EGY481.DOCX")</f>
      </c>
      <c r="Q114" s="6">
        <f>HYPERLINK("https://docs.wto.org/imrd/directdoc.asp?DDFDocuments/v/G/TBTN24/EGY481.DOCX", "https://docs.wto.org/imrd/directdoc.asp?DDFDocuments/v/G/TBTN24/EGY481.DOCX")</f>
      </c>
    </row>
    <row r="115">
      <c r="A115" s="6" t="s">
        <v>198</v>
      </c>
      <c r="B115" s="7">
        <v>45545</v>
      </c>
      <c r="C115" s="6">
        <f>HYPERLINK("https://eping.wto.org/en/Search?viewData= G/TBT/N/CHL/674/Add.1"," G/TBT/N/CHL/674/Add.1")</f>
      </c>
      <c r="D115" s="8" t="s">
        <v>556</v>
      </c>
      <c r="E115" s="8" t="s">
        <v>557</v>
      </c>
      <c r="F115" s="8" t="s">
        <v>558</v>
      </c>
      <c r="G115" s="6" t="s">
        <v>40</v>
      </c>
      <c r="H115" s="6" t="s">
        <v>559</v>
      </c>
      <c r="I115" s="6" t="s">
        <v>165</v>
      </c>
      <c r="J115" s="6" t="s">
        <v>40</v>
      </c>
      <c r="K115" s="6"/>
      <c r="L115" s="7" t="s">
        <v>40</v>
      </c>
      <c r="M115" s="6" t="s">
        <v>76</v>
      </c>
      <c r="N115" s="8" t="s">
        <v>560</v>
      </c>
      <c r="O115" s="6">
        <f>HYPERLINK("https://docs.wto.org/imrd/directdoc.asp?DDFDocuments/t/G/TBTN24/CHL674A1.DOCX", "https://docs.wto.org/imrd/directdoc.asp?DDFDocuments/t/G/TBTN24/CHL674A1.DOCX")</f>
      </c>
      <c r="P115" s="6">
        <f>HYPERLINK("https://docs.wto.org/imrd/directdoc.asp?DDFDocuments/u/G/TBTN24/CHL674A1.DOCX", "https://docs.wto.org/imrd/directdoc.asp?DDFDocuments/u/G/TBTN24/CHL674A1.DOCX")</f>
      </c>
      <c r="Q115" s="6">
        <f>HYPERLINK("https://docs.wto.org/imrd/directdoc.asp?DDFDocuments/v/G/TBTN24/CHL674A1.DOCX", "https://docs.wto.org/imrd/directdoc.asp?DDFDocuments/v/G/TBTN24/CHL674A1.DOCX")</f>
      </c>
    </row>
    <row r="116">
      <c r="A116" s="6" t="s">
        <v>198</v>
      </c>
      <c r="B116" s="7">
        <v>45545</v>
      </c>
      <c r="C116" s="6">
        <f>HYPERLINK("https://eping.wto.org/en/Search?viewData= G/SPS/N/CHL/802"," G/SPS/N/CHL/802")</f>
      </c>
      <c r="D116" s="8" t="s">
        <v>561</v>
      </c>
      <c r="E116" s="8" t="s">
        <v>562</v>
      </c>
      <c r="F116" s="8" t="s">
        <v>563</v>
      </c>
      <c r="G116" s="6" t="s">
        <v>564</v>
      </c>
      <c r="H116" s="6" t="s">
        <v>40</v>
      </c>
      <c r="I116" s="6" t="s">
        <v>369</v>
      </c>
      <c r="J116" s="6" t="s">
        <v>565</v>
      </c>
      <c r="K116" s="6" t="s">
        <v>566</v>
      </c>
      <c r="L116" s="7" t="s">
        <v>40</v>
      </c>
      <c r="M116" s="6" t="s">
        <v>25</v>
      </c>
      <c r="N116" s="8" t="s">
        <v>567</v>
      </c>
      <c r="O116" s="6">
        <f>HYPERLINK("https://docs.wto.org/imrd/directdoc.asp?DDFDocuments/t/G/SPS/NCHL802.DOCX", "https://docs.wto.org/imrd/directdoc.asp?DDFDocuments/t/G/SPS/NCHL802.DOCX")</f>
      </c>
      <c r="P116" s="6">
        <f>HYPERLINK("https://docs.wto.org/imrd/directdoc.asp?DDFDocuments/u/G/SPS/NCHL802.DOCX", "https://docs.wto.org/imrd/directdoc.asp?DDFDocuments/u/G/SPS/NCHL802.DOCX")</f>
      </c>
      <c r="Q116" s="6">
        <f>HYPERLINK("https://docs.wto.org/imrd/directdoc.asp?DDFDocuments/v/G/SPS/NCHL802.DOCX", "https://docs.wto.org/imrd/directdoc.asp?DDFDocuments/v/G/SPS/NCHL802.DOCX")</f>
      </c>
    </row>
    <row r="117">
      <c r="A117" s="6" t="s">
        <v>160</v>
      </c>
      <c r="B117" s="7">
        <v>45545</v>
      </c>
      <c r="C117" s="6">
        <f>HYPERLINK("https://eping.wto.org/en/Search?viewData= G/TBT/N/USA/2146"," G/TBT/N/USA/2146")</f>
      </c>
      <c r="D117" s="8" t="s">
        <v>568</v>
      </c>
      <c r="E117" s="8" t="s">
        <v>569</v>
      </c>
      <c r="F117" s="8" t="s">
        <v>570</v>
      </c>
      <c r="G117" s="6" t="s">
        <v>40</v>
      </c>
      <c r="H117" s="6" t="s">
        <v>571</v>
      </c>
      <c r="I117" s="6" t="s">
        <v>572</v>
      </c>
      <c r="J117" s="6" t="s">
        <v>40</v>
      </c>
      <c r="K117" s="6"/>
      <c r="L117" s="7">
        <v>45604</v>
      </c>
      <c r="M117" s="6" t="s">
        <v>25</v>
      </c>
      <c r="N117" s="8" t="s">
        <v>573</v>
      </c>
      <c r="O117" s="6">
        <f>HYPERLINK("https://docs.wto.org/imrd/directdoc.asp?DDFDocuments/t/G/TBTN24/USA2146.DOCX", "https://docs.wto.org/imrd/directdoc.asp?DDFDocuments/t/G/TBTN24/USA2146.DOCX")</f>
      </c>
      <c r="P117" s="6">
        <f>HYPERLINK("https://docs.wto.org/imrd/directdoc.asp?DDFDocuments/u/G/TBTN24/USA2146.DOCX", "https://docs.wto.org/imrd/directdoc.asp?DDFDocuments/u/G/TBTN24/USA2146.DOCX")</f>
      </c>
      <c r="Q117" s="6">
        <f>HYPERLINK("https://docs.wto.org/imrd/directdoc.asp?DDFDocuments/v/G/TBTN24/USA2146.DOCX", "https://docs.wto.org/imrd/directdoc.asp?DDFDocuments/v/G/TBTN24/USA2146.DOCX")</f>
      </c>
    </row>
    <row r="118">
      <c r="A118" s="6" t="s">
        <v>343</v>
      </c>
      <c r="B118" s="7">
        <v>45545</v>
      </c>
      <c r="C118" s="6">
        <f>HYPERLINK("https://eping.wto.org/en/Search?viewData= G/TBT/N/ARE/624, G/TBT/N/BHR/709, G/TBT/N/KWT/688, G/TBT/N/OMN/533, G/TBT/N/QAT/684, G/TBT/N/SAU/1352, G/TBT/N/YEM/290"," G/TBT/N/ARE/624, G/TBT/N/BHR/709, G/TBT/N/KWT/688, G/TBT/N/OMN/533, G/TBT/N/QAT/684, G/TBT/N/SAU/1352, G/TBT/N/YEM/290")</f>
      </c>
      <c r="D118" s="8" t="s">
        <v>444</v>
      </c>
      <c r="E118" s="8" t="s">
        <v>445</v>
      </c>
      <c r="F118" s="8" t="s">
        <v>446</v>
      </c>
      <c r="G118" s="6" t="s">
        <v>447</v>
      </c>
      <c r="H118" s="6" t="s">
        <v>448</v>
      </c>
      <c r="I118" s="6" t="s">
        <v>142</v>
      </c>
      <c r="J118" s="6" t="s">
        <v>24</v>
      </c>
      <c r="K118" s="6"/>
      <c r="L118" s="7">
        <v>45606</v>
      </c>
      <c r="M118" s="6" t="s">
        <v>25</v>
      </c>
      <c r="N118" s="8" t="s">
        <v>449</v>
      </c>
      <c r="O118" s="6">
        <f>HYPERLINK("https://docs.wto.org/imrd/directdoc.asp?DDFDocuments/t/G/TBTN24/ARE624.DOCX", "https://docs.wto.org/imrd/directdoc.asp?DDFDocuments/t/G/TBTN24/ARE624.DOCX")</f>
      </c>
      <c r="P118" s="6">
        <f>HYPERLINK("https://docs.wto.org/imrd/directdoc.asp?DDFDocuments/u/G/TBTN24/ARE624.DOCX", "https://docs.wto.org/imrd/directdoc.asp?DDFDocuments/u/G/TBTN24/ARE624.DOCX")</f>
      </c>
      <c r="Q118" s="6">
        <f>HYPERLINK("https://docs.wto.org/imrd/directdoc.asp?DDFDocuments/v/G/TBTN24/ARE624.DOCX", "https://docs.wto.org/imrd/directdoc.asp?DDFDocuments/v/G/TBTN24/ARE624.DOCX")</f>
      </c>
    </row>
    <row r="119">
      <c r="A119" s="6" t="s">
        <v>160</v>
      </c>
      <c r="B119" s="7">
        <v>45545</v>
      </c>
      <c r="C119" s="6">
        <f>HYPERLINK("https://eping.wto.org/en/Search?viewData= G/TBT/N/USA/2144"," G/TBT/N/USA/2144")</f>
      </c>
      <c r="D119" s="8" t="s">
        <v>574</v>
      </c>
      <c r="E119" s="8" t="s">
        <v>575</v>
      </c>
      <c r="F119" s="8" t="s">
        <v>576</v>
      </c>
      <c r="G119" s="6" t="s">
        <v>40</v>
      </c>
      <c r="H119" s="6" t="s">
        <v>577</v>
      </c>
      <c r="I119" s="6" t="s">
        <v>578</v>
      </c>
      <c r="J119" s="6" t="s">
        <v>40</v>
      </c>
      <c r="K119" s="6"/>
      <c r="L119" s="7">
        <v>45558</v>
      </c>
      <c r="M119" s="6" t="s">
        <v>25</v>
      </c>
      <c r="N119" s="8" t="s">
        <v>579</v>
      </c>
      <c r="O119" s="6">
        <f>HYPERLINK("https://docs.wto.org/imrd/directdoc.asp?DDFDocuments/t/G/TBTN24/USA2144.DOCX", "https://docs.wto.org/imrd/directdoc.asp?DDFDocuments/t/G/TBTN24/USA2144.DOCX")</f>
      </c>
      <c r="P119" s="6">
        <f>HYPERLINK("https://docs.wto.org/imrd/directdoc.asp?DDFDocuments/u/G/TBTN24/USA2144.DOCX", "https://docs.wto.org/imrd/directdoc.asp?DDFDocuments/u/G/TBTN24/USA2144.DOCX")</f>
      </c>
      <c r="Q119" s="6">
        <f>HYPERLINK("https://docs.wto.org/imrd/directdoc.asp?DDFDocuments/v/G/TBTN24/USA2144.DOCX", "https://docs.wto.org/imrd/directdoc.asp?DDFDocuments/v/G/TBTN24/USA2144.DOCX")</f>
      </c>
    </row>
    <row r="120">
      <c r="A120" s="6" t="s">
        <v>115</v>
      </c>
      <c r="B120" s="7">
        <v>45545</v>
      </c>
      <c r="C120" s="6">
        <f>HYPERLINK("https://eping.wto.org/en/Search?viewData= G/SPS/N/BRA/2310/Add.1"," G/SPS/N/BRA/2310/Add.1")</f>
      </c>
      <c r="D120" s="8" t="s">
        <v>580</v>
      </c>
      <c r="E120" s="8" t="s">
        <v>581</v>
      </c>
      <c r="F120" s="8" t="s">
        <v>233</v>
      </c>
      <c r="G120" s="6" t="s">
        <v>40</v>
      </c>
      <c r="H120" s="6" t="s">
        <v>398</v>
      </c>
      <c r="I120" s="6" t="s">
        <v>38</v>
      </c>
      <c r="J120" s="6" t="s">
        <v>582</v>
      </c>
      <c r="K120" s="6"/>
      <c r="L120" s="7">
        <v>45605</v>
      </c>
      <c r="M120" s="6" t="s">
        <v>76</v>
      </c>
      <c r="N120" s="8" t="s">
        <v>583</v>
      </c>
      <c r="O120" s="6">
        <f>HYPERLINK("https://docs.wto.org/imrd/directdoc.asp?DDFDocuments/t/G/SPS/NBRA2310A1.DOCX", "https://docs.wto.org/imrd/directdoc.asp?DDFDocuments/t/G/SPS/NBRA2310A1.DOCX")</f>
      </c>
      <c r="P120" s="6">
        <f>HYPERLINK("https://docs.wto.org/imrd/directdoc.asp?DDFDocuments/u/G/SPS/NBRA2310A1.DOCX", "https://docs.wto.org/imrd/directdoc.asp?DDFDocuments/u/G/SPS/NBRA2310A1.DOCX")</f>
      </c>
      <c r="Q120" s="6">
        <f>HYPERLINK("https://docs.wto.org/imrd/directdoc.asp?DDFDocuments/v/G/SPS/NBRA2310A1.DOCX", "https://docs.wto.org/imrd/directdoc.asp?DDFDocuments/v/G/SPS/NBRA2310A1.DOCX")</f>
      </c>
    </row>
    <row r="121">
      <c r="A121" s="6" t="s">
        <v>584</v>
      </c>
      <c r="B121" s="7">
        <v>45545</v>
      </c>
      <c r="C121" s="6">
        <f>HYPERLINK("https://eping.wto.org/en/Search?viewData= G/SPS/N/GBR/67"," G/SPS/N/GBR/67")</f>
      </c>
      <c r="D121" s="8" t="s">
        <v>585</v>
      </c>
      <c r="E121" s="8" t="s">
        <v>586</v>
      </c>
      <c r="F121" s="8" t="s">
        <v>587</v>
      </c>
      <c r="G121" s="6" t="s">
        <v>40</v>
      </c>
      <c r="H121" s="6" t="s">
        <v>40</v>
      </c>
      <c r="I121" s="6" t="s">
        <v>184</v>
      </c>
      <c r="J121" s="6" t="s">
        <v>588</v>
      </c>
      <c r="K121" s="6" t="s">
        <v>40</v>
      </c>
      <c r="L121" s="7">
        <v>45605</v>
      </c>
      <c r="M121" s="6" t="s">
        <v>25</v>
      </c>
      <c r="N121" s="8" t="s">
        <v>589</v>
      </c>
      <c r="O121" s="6">
        <f>HYPERLINK("https://docs.wto.org/imrd/directdoc.asp?DDFDocuments/t/G/SPS/NGBR67.DOCX", "https://docs.wto.org/imrd/directdoc.asp?DDFDocuments/t/G/SPS/NGBR67.DOCX")</f>
      </c>
      <c r="P121" s="6">
        <f>HYPERLINK("https://docs.wto.org/imrd/directdoc.asp?DDFDocuments/u/G/SPS/NGBR67.DOCX", "https://docs.wto.org/imrd/directdoc.asp?DDFDocuments/u/G/SPS/NGBR67.DOCX")</f>
      </c>
      <c r="Q121" s="6">
        <f>HYPERLINK("https://docs.wto.org/imrd/directdoc.asp?DDFDocuments/v/G/SPS/NGBR67.DOCX", "https://docs.wto.org/imrd/directdoc.asp?DDFDocuments/v/G/SPS/NGBR67.DOCX")</f>
      </c>
    </row>
    <row r="122">
      <c r="A122" s="6" t="s">
        <v>136</v>
      </c>
      <c r="B122" s="7">
        <v>45545</v>
      </c>
      <c r="C122" s="6">
        <f>HYPERLINK("https://eping.wto.org/en/Search?viewData= G/SPS/N/PER/1016/Add.1"," G/SPS/N/PER/1016/Add.1")</f>
      </c>
      <c r="D122" s="8" t="s">
        <v>590</v>
      </c>
      <c r="E122" s="8" t="s">
        <v>590</v>
      </c>
      <c r="F122" s="8" t="s">
        <v>591</v>
      </c>
      <c r="G122" s="6" t="s">
        <v>592</v>
      </c>
      <c r="H122" s="6" t="s">
        <v>40</v>
      </c>
      <c r="I122" s="6" t="s">
        <v>369</v>
      </c>
      <c r="J122" s="6" t="s">
        <v>593</v>
      </c>
      <c r="K122" s="6"/>
      <c r="L122" s="7" t="s">
        <v>40</v>
      </c>
      <c r="M122" s="6" t="s">
        <v>76</v>
      </c>
      <c r="N122" s="8" t="s">
        <v>594</v>
      </c>
      <c r="O122" s="6">
        <f>HYPERLINK("https://docs.wto.org/imrd/directdoc.asp?DDFDocuments/t/G/SPS/NPER1016A1.DOCX", "https://docs.wto.org/imrd/directdoc.asp?DDFDocuments/t/G/SPS/NPER1016A1.DOCX")</f>
      </c>
      <c r="P122" s="6">
        <f>HYPERLINK("https://docs.wto.org/imrd/directdoc.asp?DDFDocuments/u/G/SPS/NPER1016A1.DOCX", "https://docs.wto.org/imrd/directdoc.asp?DDFDocuments/u/G/SPS/NPER1016A1.DOCX")</f>
      </c>
      <c r="Q122" s="6">
        <f>HYPERLINK("https://docs.wto.org/imrd/directdoc.asp?DDFDocuments/v/G/SPS/NPER1016A1.DOCX", "https://docs.wto.org/imrd/directdoc.asp?DDFDocuments/v/G/SPS/NPER1016A1.DOCX")</f>
      </c>
    </row>
    <row r="123">
      <c r="A123" s="6" t="s">
        <v>595</v>
      </c>
      <c r="B123" s="7">
        <v>45545</v>
      </c>
      <c r="C123" s="6">
        <f>HYPERLINK("https://eping.wto.org/en/Search?viewData= G/TBT/N/SGP/73"," G/TBT/N/SGP/73")</f>
      </c>
      <c r="D123" s="8" t="s">
        <v>596</v>
      </c>
      <c r="E123" s="8" t="s">
        <v>597</v>
      </c>
      <c r="F123" s="8" t="s">
        <v>598</v>
      </c>
      <c r="G123" s="6" t="s">
        <v>599</v>
      </c>
      <c r="H123" s="6" t="s">
        <v>600</v>
      </c>
      <c r="I123" s="6" t="s">
        <v>165</v>
      </c>
      <c r="J123" s="6" t="s">
        <v>40</v>
      </c>
      <c r="K123" s="6"/>
      <c r="L123" s="7">
        <v>45605</v>
      </c>
      <c r="M123" s="6" t="s">
        <v>25</v>
      </c>
      <c r="N123" s="8" t="s">
        <v>601</v>
      </c>
      <c r="O123" s="6">
        <f>HYPERLINK("https://docs.wto.org/imrd/directdoc.asp?DDFDocuments/t/G/TBTN24/SGP73.DOCX", "https://docs.wto.org/imrd/directdoc.asp?DDFDocuments/t/G/TBTN24/SGP73.DOCX")</f>
      </c>
      <c r="P123" s="6">
        <f>HYPERLINK("https://docs.wto.org/imrd/directdoc.asp?DDFDocuments/u/G/TBTN24/SGP73.DOCX", "https://docs.wto.org/imrd/directdoc.asp?DDFDocuments/u/G/TBTN24/SGP73.DOCX")</f>
      </c>
      <c r="Q123" s="6">
        <f>HYPERLINK("https://docs.wto.org/imrd/directdoc.asp?DDFDocuments/v/G/TBTN24/SGP73.DOCX", "https://docs.wto.org/imrd/directdoc.asp?DDFDocuments/v/G/TBTN24/SGP73.DOCX")</f>
      </c>
    </row>
    <row r="124">
      <c r="A124" s="6" t="s">
        <v>331</v>
      </c>
      <c r="B124" s="7">
        <v>45545</v>
      </c>
      <c r="C124" s="6">
        <f>HYPERLINK("https://eping.wto.org/en/Search?viewData= G/TBT/N/ARE/624, G/TBT/N/BHR/709, G/TBT/N/KWT/688, G/TBT/N/OMN/533, G/TBT/N/QAT/684, G/TBT/N/SAU/1352, G/TBT/N/YEM/290"," G/TBT/N/ARE/624, G/TBT/N/BHR/709, G/TBT/N/KWT/688, G/TBT/N/OMN/533, G/TBT/N/QAT/684, G/TBT/N/SAU/1352, G/TBT/N/YEM/290")</f>
      </c>
      <c r="D124" s="8" t="s">
        <v>444</v>
      </c>
      <c r="E124" s="8" t="s">
        <v>445</v>
      </c>
      <c r="F124" s="8" t="s">
        <v>446</v>
      </c>
      <c r="G124" s="6" t="s">
        <v>447</v>
      </c>
      <c r="H124" s="6" t="s">
        <v>448</v>
      </c>
      <c r="I124" s="6" t="s">
        <v>142</v>
      </c>
      <c r="J124" s="6" t="s">
        <v>24</v>
      </c>
      <c r="K124" s="6"/>
      <c r="L124" s="7">
        <v>45606</v>
      </c>
      <c r="M124" s="6" t="s">
        <v>25</v>
      </c>
      <c r="N124" s="8" t="s">
        <v>449</v>
      </c>
      <c r="O124" s="6">
        <f>HYPERLINK("https://docs.wto.org/imrd/directdoc.asp?DDFDocuments/t/G/TBTN24/ARE624.DOCX", "https://docs.wto.org/imrd/directdoc.asp?DDFDocuments/t/G/TBTN24/ARE624.DOCX")</f>
      </c>
      <c r="P124" s="6">
        <f>HYPERLINK("https://docs.wto.org/imrd/directdoc.asp?DDFDocuments/u/G/TBTN24/ARE624.DOCX", "https://docs.wto.org/imrd/directdoc.asp?DDFDocuments/u/G/TBTN24/ARE624.DOCX")</f>
      </c>
      <c r="Q124" s="6">
        <f>HYPERLINK("https://docs.wto.org/imrd/directdoc.asp?DDFDocuments/v/G/TBTN24/ARE624.DOCX", "https://docs.wto.org/imrd/directdoc.asp?DDFDocuments/v/G/TBTN24/ARE624.DOCX")</f>
      </c>
    </row>
    <row r="125">
      <c r="A125" s="6" t="s">
        <v>115</v>
      </c>
      <c r="B125" s="7">
        <v>45545</v>
      </c>
      <c r="C125" s="6">
        <f>HYPERLINK("https://eping.wto.org/en/Search?viewData= G/SPS/N/BRA/2329"," G/SPS/N/BRA/2329")</f>
      </c>
      <c r="D125" s="8" t="s">
        <v>602</v>
      </c>
      <c r="E125" s="8" t="s">
        <v>603</v>
      </c>
      <c r="F125" s="8" t="s">
        <v>604</v>
      </c>
      <c r="G125" s="6" t="s">
        <v>605</v>
      </c>
      <c r="H125" s="6" t="s">
        <v>40</v>
      </c>
      <c r="I125" s="6" t="s">
        <v>184</v>
      </c>
      <c r="J125" s="6" t="s">
        <v>410</v>
      </c>
      <c r="K125" s="6" t="s">
        <v>160</v>
      </c>
      <c r="L125" s="7" t="s">
        <v>40</v>
      </c>
      <c r="M125" s="6" t="s">
        <v>25</v>
      </c>
      <c r="N125" s="8" t="s">
        <v>606</v>
      </c>
      <c r="O125" s="6">
        <f>HYPERLINK("https://docs.wto.org/imrd/directdoc.asp?DDFDocuments/t/G/SPS/NBRA2329.DOCX", "https://docs.wto.org/imrd/directdoc.asp?DDFDocuments/t/G/SPS/NBRA2329.DOCX")</f>
      </c>
      <c r="P125" s="6">
        <f>HYPERLINK("https://docs.wto.org/imrd/directdoc.asp?DDFDocuments/u/G/SPS/NBRA2329.DOCX", "https://docs.wto.org/imrd/directdoc.asp?DDFDocuments/u/G/SPS/NBRA2329.DOCX")</f>
      </c>
      <c r="Q125" s="6">
        <f>HYPERLINK("https://docs.wto.org/imrd/directdoc.asp?DDFDocuments/v/G/SPS/NBRA2329.DOCX", "https://docs.wto.org/imrd/directdoc.asp?DDFDocuments/v/G/SPS/NBRA2329.DOCX")</f>
      </c>
    </row>
    <row r="126">
      <c r="A126" s="6" t="s">
        <v>136</v>
      </c>
      <c r="B126" s="7">
        <v>45545</v>
      </c>
      <c r="C126" s="6">
        <f>HYPERLINK("https://eping.wto.org/en/Search?viewData= G/SPS/N/PER/1060"," G/SPS/N/PER/1060")</f>
      </c>
      <c r="D126" s="8" t="s">
        <v>607</v>
      </c>
      <c r="E126" s="8" t="s">
        <v>608</v>
      </c>
      <c r="F126" s="8" t="s">
        <v>609</v>
      </c>
      <c r="G126" s="6" t="s">
        <v>610</v>
      </c>
      <c r="H126" s="6" t="s">
        <v>40</v>
      </c>
      <c r="I126" s="6" t="s">
        <v>369</v>
      </c>
      <c r="J126" s="6" t="s">
        <v>565</v>
      </c>
      <c r="K126" s="6" t="s">
        <v>611</v>
      </c>
      <c r="L126" s="7">
        <v>45605</v>
      </c>
      <c r="M126" s="6" t="s">
        <v>25</v>
      </c>
      <c r="N126" s="8" t="s">
        <v>612</v>
      </c>
      <c r="O126" s="6">
        <f>HYPERLINK("https://docs.wto.org/imrd/directdoc.asp?DDFDocuments/t/G/SPS/NPER1060.DOCX", "https://docs.wto.org/imrd/directdoc.asp?DDFDocuments/t/G/SPS/NPER1060.DOCX")</f>
      </c>
      <c r="P126" s="6">
        <f>HYPERLINK("https://docs.wto.org/imrd/directdoc.asp?DDFDocuments/u/G/SPS/NPER1060.DOCX", "https://docs.wto.org/imrd/directdoc.asp?DDFDocuments/u/G/SPS/NPER1060.DOCX")</f>
      </c>
      <c r="Q126" s="6">
        <f>HYPERLINK("https://docs.wto.org/imrd/directdoc.asp?DDFDocuments/v/G/SPS/NPER1060.DOCX", "https://docs.wto.org/imrd/directdoc.asp?DDFDocuments/v/G/SPS/NPER1060.DOCX")</f>
      </c>
    </row>
    <row r="127">
      <c r="A127" s="6" t="s">
        <v>392</v>
      </c>
      <c r="B127" s="7">
        <v>45545</v>
      </c>
      <c r="C127" s="6">
        <f>HYPERLINK("https://eping.wto.org/en/Search?viewData= G/TBT/N/ARE/624, G/TBT/N/BHR/709, G/TBT/N/KWT/688, G/TBT/N/OMN/533, G/TBT/N/QAT/684, G/TBT/N/SAU/1352, G/TBT/N/YEM/290"," G/TBT/N/ARE/624, G/TBT/N/BHR/709, G/TBT/N/KWT/688, G/TBT/N/OMN/533, G/TBT/N/QAT/684, G/TBT/N/SAU/1352, G/TBT/N/YEM/290")</f>
      </c>
      <c r="D127" s="8" t="s">
        <v>444</v>
      </c>
      <c r="E127" s="8" t="s">
        <v>445</v>
      </c>
      <c r="F127" s="8" t="s">
        <v>446</v>
      </c>
      <c r="G127" s="6" t="s">
        <v>447</v>
      </c>
      <c r="H127" s="6" t="s">
        <v>448</v>
      </c>
      <c r="I127" s="6" t="s">
        <v>142</v>
      </c>
      <c r="J127" s="6" t="s">
        <v>24</v>
      </c>
      <c r="K127" s="6"/>
      <c r="L127" s="7">
        <v>45606</v>
      </c>
      <c r="M127" s="6" t="s">
        <v>25</v>
      </c>
      <c r="N127" s="8" t="s">
        <v>449</v>
      </c>
      <c r="O127" s="6">
        <f>HYPERLINK("https://docs.wto.org/imrd/directdoc.asp?DDFDocuments/t/G/TBTN24/ARE624.DOCX", "https://docs.wto.org/imrd/directdoc.asp?DDFDocuments/t/G/TBTN24/ARE624.DOCX")</f>
      </c>
      <c r="P127" s="6">
        <f>HYPERLINK("https://docs.wto.org/imrd/directdoc.asp?DDFDocuments/u/G/TBTN24/ARE624.DOCX", "https://docs.wto.org/imrd/directdoc.asp?DDFDocuments/u/G/TBTN24/ARE624.DOCX")</f>
      </c>
      <c r="Q127" s="6">
        <f>HYPERLINK("https://docs.wto.org/imrd/directdoc.asp?DDFDocuments/v/G/TBTN24/ARE624.DOCX", "https://docs.wto.org/imrd/directdoc.asp?DDFDocuments/v/G/TBTN24/ARE624.DOCX")</f>
      </c>
    </row>
    <row r="128">
      <c r="A128" s="6" t="s">
        <v>437</v>
      </c>
      <c r="B128" s="7">
        <v>45545</v>
      </c>
      <c r="C128" s="6">
        <f>HYPERLINK("https://eping.wto.org/en/Search?viewData= G/TBT/N/DOM/239"," G/TBT/N/DOM/239")</f>
      </c>
      <c r="D128" s="8" t="s">
        <v>613</v>
      </c>
      <c r="E128" s="8" t="s">
        <v>614</v>
      </c>
      <c r="F128" s="8" t="s">
        <v>615</v>
      </c>
      <c r="G128" s="6" t="s">
        <v>616</v>
      </c>
      <c r="H128" s="6" t="s">
        <v>617</v>
      </c>
      <c r="I128" s="6" t="s">
        <v>618</v>
      </c>
      <c r="J128" s="6" t="s">
        <v>24</v>
      </c>
      <c r="K128" s="6"/>
      <c r="L128" s="7">
        <v>45605</v>
      </c>
      <c r="M128" s="6" t="s">
        <v>25</v>
      </c>
      <c r="N128" s="8" t="s">
        <v>619</v>
      </c>
      <c r="O128" s="6">
        <f>HYPERLINK("https://docs.wto.org/imrd/directdoc.asp?DDFDocuments/t/G/TBTN24/DOM239.DOCX", "https://docs.wto.org/imrd/directdoc.asp?DDFDocuments/t/G/TBTN24/DOM239.DOCX")</f>
      </c>
      <c r="P128" s="6">
        <f>HYPERLINK("https://docs.wto.org/imrd/directdoc.asp?DDFDocuments/u/G/TBTN24/DOM239.DOCX", "https://docs.wto.org/imrd/directdoc.asp?DDFDocuments/u/G/TBTN24/DOM239.DOCX")</f>
      </c>
      <c r="Q128" s="6">
        <f>HYPERLINK("https://docs.wto.org/imrd/directdoc.asp?DDFDocuments/v/G/TBTN24/DOM239.DOCX", "https://docs.wto.org/imrd/directdoc.asp?DDFDocuments/v/G/TBTN24/DOM239.DOCX")</f>
      </c>
    </row>
    <row r="129">
      <c r="A129" s="6" t="s">
        <v>620</v>
      </c>
      <c r="B129" s="7">
        <v>45545</v>
      </c>
      <c r="C129" s="6">
        <f>HYPERLINK("https://eping.wto.org/en/Search?viewData= G/TBT/N/NAM/10"," G/TBT/N/NAM/10")</f>
      </c>
      <c r="D129" s="8" t="s">
        <v>621</v>
      </c>
      <c r="E129" s="8" t="s">
        <v>622</v>
      </c>
      <c r="F129" s="8" t="s">
        <v>623</v>
      </c>
      <c r="G129" s="6" t="s">
        <v>624</v>
      </c>
      <c r="H129" s="6" t="s">
        <v>625</v>
      </c>
      <c r="I129" s="6" t="s">
        <v>626</v>
      </c>
      <c r="J129" s="6" t="s">
        <v>24</v>
      </c>
      <c r="K129" s="6"/>
      <c r="L129" s="7">
        <v>45581</v>
      </c>
      <c r="M129" s="6" t="s">
        <v>25</v>
      </c>
      <c r="N129" s="8" t="s">
        <v>627</v>
      </c>
      <c r="O129" s="6">
        <f>HYPERLINK("https://docs.wto.org/imrd/directdoc.asp?DDFDocuments/t/G/TBTN24/NAM10.DOCX", "https://docs.wto.org/imrd/directdoc.asp?DDFDocuments/t/G/TBTN24/NAM10.DOCX")</f>
      </c>
      <c r="P129" s="6">
        <f>HYPERLINK("https://docs.wto.org/imrd/directdoc.asp?DDFDocuments/u/G/TBTN24/NAM10.DOCX", "https://docs.wto.org/imrd/directdoc.asp?DDFDocuments/u/G/TBTN24/NAM10.DOCX")</f>
      </c>
      <c r="Q129" s="6">
        <f>HYPERLINK("https://docs.wto.org/imrd/directdoc.asp?DDFDocuments/v/G/TBTN24/NAM10.DOCX", "https://docs.wto.org/imrd/directdoc.asp?DDFDocuments/v/G/TBTN24/NAM10.DOCX")</f>
      </c>
    </row>
    <row r="130">
      <c r="A130" s="6" t="s">
        <v>419</v>
      </c>
      <c r="B130" s="7">
        <v>45544</v>
      </c>
      <c r="C130" s="6">
        <f>HYPERLINK("https://eping.wto.org/en/Search?viewData= G/SPS/N/JPN/1286"," G/SPS/N/JPN/1286")</f>
      </c>
      <c r="D130" s="8" t="s">
        <v>628</v>
      </c>
      <c r="E130" s="8" t="s">
        <v>629</v>
      </c>
      <c r="F130" s="8" t="s">
        <v>630</v>
      </c>
      <c r="G130" s="6" t="s">
        <v>631</v>
      </c>
      <c r="H130" s="6" t="s">
        <v>40</v>
      </c>
      <c r="I130" s="6" t="s">
        <v>38</v>
      </c>
      <c r="J130" s="6" t="s">
        <v>103</v>
      </c>
      <c r="K130" s="6" t="s">
        <v>40</v>
      </c>
      <c r="L130" s="7" t="s">
        <v>40</v>
      </c>
      <c r="M130" s="6" t="s">
        <v>25</v>
      </c>
      <c r="N130" s="8" t="s">
        <v>632</v>
      </c>
      <c r="O130" s="6">
        <f>HYPERLINK("https://docs.wto.org/imrd/directdoc.asp?DDFDocuments/t/G/SPS/NJPN1286.DOCX", "https://docs.wto.org/imrd/directdoc.asp?DDFDocuments/t/G/SPS/NJPN1286.DOCX")</f>
      </c>
      <c r="P130" s="6">
        <f>HYPERLINK("https://docs.wto.org/imrd/directdoc.asp?DDFDocuments/u/G/SPS/NJPN1286.DOCX", "https://docs.wto.org/imrd/directdoc.asp?DDFDocuments/u/G/SPS/NJPN1286.DOCX")</f>
      </c>
      <c r="Q130" s="6">
        <f>HYPERLINK("https://docs.wto.org/imrd/directdoc.asp?DDFDocuments/v/G/SPS/NJPN1286.DOCX", "https://docs.wto.org/imrd/directdoc.asp?DDFDocuments/v/G/SPS/NJPN1286.DOCX")</f>
      </c>
    </row>
    <row r="131">
      <c r="A131" s="6" t="s">
        <v>419</v>
      </c>
      <c r="B131" s="7">
        <v>45544</v>
      </c>
      <c r="C131" s="6">
        <f>HYPERLINK("https://eping.wto.org/en/Search?viewData= G/SPS/N/JPN/1293"," G/SPS/N/JPN/1293")</f>
      </c>
      <c r="D131" s="8" t="s">
        <v>628</v>
      </c>
      <c r="E131" s="8" t="s">
        <v>633</v>
      </c>
      <c r="F131" s="8" t="s">
        <v>634</v>
      </c>
      <c r="G131" s="6" t="s">
        <v>635</v>
      </c>
      <c r="H131" s="6" t="s">
        <v>40</v>
      </c>
      <c r="I131" s="6" t="s">
        <v>38</v>
      </c>
      <c r="J131" s="6" t="s">
        <v>636</v>
      </c>
      <c r="K131" s="6" t="s">
        <v>40</v>
      </c>
      <c r="L131" s="7" t="s">
        <v>40</v>
      </c>
      <c r="M131" s="6" t="s">
        <v>25</v>
      </c>
      <c r="N131" s="8" t="s">
        <v>637</v>
      </c>
      <c r="O131" s="6">
        <f>HYPERLINK("https://docs.wto.org/imrd/directdoc.asp?DDFDocuments/t/G/SPS/NJPN1293.DOCX", "https://docs.wto.org/imrd/directdoc.asp?DDFDocuments/t/G/SPS/NJPN1293.DOCX")</f>
      </c>
      <c r="P131" s="6">
        <f>HYPERLINK("https://docs.wto.org/imrd/directdoc.asp?DDFDocuments/u/G/SPS/NJPN1293.DOCX", "https://docs.wto.org/imrd/directdoc.asp?DDFDocuments/u/G/SPS/NJPN1293.DOCX")</f>
      </c>
      <c r="Q131" s="6">
        <f>HYPERLINK("https://docs.wto.org/imrd/directdoc.asp?DDFDocuments/v/G/SPS/NJPN1293.DOCX", "https://docs.wto.org/imrd/directdoc.asp?DDFDocuments/v/G/SPS/NJPN1293.DOCX")</f>
      </c>
    </row>
    <row r="132">
      <c r="A132" s="6" t="s">
        <v>419</v>
      </c>
      <c r="B132" s="7">
        <v>45544</v>
      </c>
      <c r="C132" s="6">
        <f>HYPERLINK("https://eping.wto.org/en/Search?viewData= G/SPS/N/JPN/1279"," G/SPS/N/JPN/1279")</f>
      </c>
      <c r="D132" s="8" t="s">
        <v>628</v>
      </c>
      <c r="E132" s="8" t="s">
        <v>638</v>
      </c>
      <c r="F132" s="8" t="s">
        <v>639</v>
      </c>
      <c r="G132" s="6" t="s">
        <v>640</v>
      </c>
      <c r="H132" s="6" t="s">
        <v>40</v>
      </c>
      <c r="I132" s="6" t="s">
        <v>38</v>
      </c>
      <c r="J132" s="6" t="s">
        <v>641</v>
      </c>
      <c r="K132" s="6" t="s">
        <v>40</v>
      </c>
      <c r="L132" s="7">
        <v>45604</v>
      </c>
      <c r="M132" s="6" t="s">
        <v>25</v>
      </c>
      <c r="N132" s="8" t="s">
        <v>642</v>
      </c>
      <c r="O132" s="6">
        <f>HYPERLINK("https://docs.wto.org/imrd/directdoc.asp?DDFDocuments/t/G/SPS/NJPN1279.DOCX", "https://docs.wto.org/imrd/directdoc.asp?DDFDocuments/t/G/SPS/NJPN1279.DOCX")</f>
      </c>
      <c r="P132" s="6">
        <f>HYPERLINK("https://docs.wto.org/imrd/directdoc.asp?DDFDocuments/u/G/SPS/NJPN1279.DOCX", "https://docs.wto.org/imrd/directdoc.asp?DDFDocuments/u/G/SPS/NJPN1279.DOCX")</f>
      </c>
      <c r="Q132" s="6">
        <f>HYPERLINK("https://docs.wto.org/imrd/directdoc.asp?DDFDocuments/v/G/SPS/NJPN1279.DOCX", "https://docs.wto.org/imrd/directdoc.asp?DDFDocuments/v/G/SPS/NJPN1279.DOCX")</f>
      </c>
    </row>
    <row r="133">
      <c r="A133" s="6" t="s">
        <v>419</v>
      </c>
      <c r="B133" s="7">
        <v>45544</v>
      </c>
      <c r="C133" s="6">
        <f>HYPERLINK("https://eping.wto.org/en/Search?viewData= G/SPS/N/JPN/1281"," G/SPS/N/JPN/1281")</f>
      </c>
      <c r="D133" s="8" t="s">
        <v>628</v>
      </c>
      <c r="E133" s="8" t="s">
        <v>643</v>
      </c>
      <c r="F133" s="8" t="s">
        <v>644</v>
      </c>
      <c r="G133" s="6" t="s">
        <v>645</v>
      </c>
      <c r="H133" s="6" t="s">
        <v>40</v>
      </c>
      <c r="I133" s="6" t="s">
        <v>38</v>
      </c>
      <c r="J133" s="6" t="s">
        <v>103</v>
      </c>
      <c r="K133" s="6" t="s">
        <v>40</v>
      </c>
      <c r="L133" s="7" t="s">
        <v>40</v>
      </c>
      <c r="M133" s="6" t="s">
        <v>25</v>
      </c>
      <c r="N133" s="8" t="s">
        <v>646</v>
      </c>
      <c r="O133" s="6">
        <f>HYPERLINK("https://docs.wto.org/imrd/directdoc.asp?DDFDocuments/t/G/SPS/NJPN1281.DOCX", "https://docs.wto.org/imrd/directdoc.asp?DDFDocuments/t/G/SPS/NJPN1281.DOCX")</f>
      </c>
      <c r="P133" s="6">
        <f>HYPERLINK("https://docs.wto.org/imrd/directdoc.asp?DDFDocuments/u/G/SPS/NJPN1281.DOCX", "https://docs.wto.org/imrd/directdoc.asp?DDFDocuments/u/G/SPS/NJPN1281.DOCX")</f>
      </c>
      <c r="Q133" s="6">
        <f>HYPERLINK("https://docs.wto.org/imrd/directdoc.asp?DDFDocuments/v/G/SPS/NJPN1281.DOCX", "https://docs.wto.org/imrd/directdoc.asp?DDFDocuments/v/G/SPS/NJPN1281.DOCX")</f>
      </c>
    </row>
    <row r="134">
      <c r="A134" s="6" t="s">
        <v>419</v>
      </c>
      <c r="B134" s="7">
        <v>45544</v>
      </c>
      <c r="C134" s="6">
        <f>HYPERLINK("https://eping.wto.org/en/Search?viewData= G/SPS/N/JPN/1284"," G/SPS/N/JPN/1284")</f>
      </c>
      <c r="D134" s="8" t="s">
        <v>628</v>
      </c>
      <c r="E134" s="8" t="s">
        <v>647</v>
      </c>
      <c r="F134" s="8" t="s">
        <v>648</v>
      </c>
      <c r="G134" s="6" t="s">
        <v>649</v>
      </c>
      <c r="H134" s="6" t="s">
        <v>40</v>
      </c>
      <c r="I134" s="6" t="s">
        <v>38</v>
      </c>
      <c r="J134" s="6" t="s">
        <v>641</v>
      </c>
      <c r="K134" s="6" t="s">
        <v>40</v>
      </c>
      <c r="L134" s="7" t="s">
        <v>40</v>
      </c>
      <c r="M134" s="6" t="s">
        <v>25</v>
      </c>
      <c r="N134" s="8" t="s">
        <v>650</v>
      </c>
      <c r="O134" s="6">
        <f>HYPERLINK("https://docs.wto.org/imrd/directdoc.asp?DDFDocuments/t/G/SPS/NJPN1284.DOCX", "https://docs.wto.org/imrd/directdoc.asp?DDFDocuments/t/G/SPS/NJPN1284.DOCX")</f>
      </c>
      <c r="P134" s="6">
        <f>HYPERLINK("https://docs.wto.org/imrd/directdoc.asp?DDFDocuments/u/G/SPS/NJPN1284.DOCX", "https://docs.wto.org/imrd/directdoc.asp?DDFDocuments/u/G/SPS/NJPN1284.DOCX")</f>
      </c>
      <c r="Q134" s="6">
        <f>HYPERLINK("https://docs.wto.org/imrd/directdoc.asp?DDFDocuments/v/G/SPS/NJPN1284.DOCX", "https://docs.wto.org/imrd/directdoc.asp?DDFDocuments/v/G/SPS/NJPN1284.DOCX")</f>
      </c>
    </row>
    <row r="135">
      <c r="A135" s="6" t="s">
        <v>115</v>
      </c>
      <c r="B135" s="7">
        <v>45544</v>
      </c>
      <c r="C135" s="6">
        <f>HYPERLINK("https://eping.wto.org/en/Search?viewData= G/TBT/N/BRA/1033/Add.3"," G/TBT/N/BRA/1033/Add.3")</f>
      </c>
      <c r="D135" s="8" t="s">
        <v>651</v>
      </c>
      <c r="E135" s="8" t="s">
        <v>652</v>
      </c>
      <c r="F135" s="8" t="s">
        <v>653</v>
      </c>
      <c r="G135" s="6" t="s">
        <v>654</v>
      </c>
      <c r="H135" s="6" t="s">
        <v>655</v>
      </c>
      <c r="I135" s="6" t="s">
        <v>147</v>
      </c>
      <c r="J135" s="6" t="s">
        <v>154</v>
      </c>
      <c r="K135" s="6"/>
      <c r="L135" s="7" t="s">
        <v>40</v>
      </c>
      <c r="M135" s="6" t="s">
        <v>76</v>
      </c>
      <c r="N135" s="6"/>
      <c r="O135" s="6">
        <f>HYPERLINK("https://docs.wto.org/imrd/directdoc.asp?DDFDocuments/t/G/TBTN20/BRA1033A3.DOCX", "https://docs.wto.org/imrd/directdoc.asp?DDFDocuments/t/G/TBTN20/BRA1033A3.DOCX")</f>
      </c>
      <c r="P135" s="6">
        <f>HYPERLINK("https://docs.wto.org/imrd/directdoc.asp?DDFDocuments/u/G/TBTN20/BRA1033A3.DOCX", "https://docs.wto.org/imrd/directdoc.asp?DDFDocuments/u/G/TBTN20/BRA1033A3.DOCX")</f>
      </c>
      <c r="Q135" s="6">
        <f>HYPERLINK("https://docs.wto.org/imrd/directdoc.asp?DDFDocuments/v/G/TBTN20/BRA1033A3.DOCX", "https://docs.wto.org/imrd/directdoc.asp?DDFDocuments/v/G/TBTN20/BRA1033A3.DOCX")</f>
      </c>
    </row>
    <row r="136">
      <c r="A136" s="6" t="s">
        <v>115</v>
      </c>
      <c r="B136" s="7">
        <v>45544</v>
      </c>
      <c r="C136" s="6">
        <f>HYPERLINK("https://eping.wto.org/en/Search?viewData= G/TBT/N/BRA/1085/Add.1"," G/TBT/N/BRA/1085/Add.1")</f>
      </c>
      <c r="D136" s="8" t="s">
        <v>656</v>
      </c>
      <c r="E136" s="8" t="s">
        <v>657</v>
      </c>
      <c r="F136" s="8" t="s">
        <v>151</v>
      </c>
      <c r="G136" s="6" t="s">
        <v>152</v>
      </c>
      <c r="H136" s="6" t="s">
        <v>153</v>
      </c>
      <c r="I136" s="6" t="s">
        <v>147</v>
      </c>
      <c r="J136" s="6" t="s">
        <v>148</v>
      </c>
      <c r="K136" s="6"/>
      <c r="L136" s="7" t="s">
        <v>40</v>
      </c>
      <c r="M136" s="6" t="s">
        <v>76</v>
      </c>
      <c r="N136" s="6"/>
      <c r="O136" s="6">
        <f>HYPERLINK("https://docs.wto.org/imrd/directdoc.asp?DDFDocuments/t/G/TBTN20/BRA1085A1.DOCX", "https://docs.wto.org/imrd/directdoc.asp?DDFDocuments/t/G/TBTN20/BRA1085A1.DOCX")</f>
      </c>
      <c r="P136" s="6">
        <f>HYPERLINK("https://docs.wto.org/imrd/directdoc.asp?DDFDocuments/u/G/TBTN20/BRA1085A1.DOCX", "https://docs.wto.org/imrd/directdoc.asp?DDFDocuments/u/G/TBTN20/BRA1085A1.DOCX")</f>
      </c>
      <c r="Q136" s="6">
        <f>HYPERLINK("https://docs.wto.org/imrd/directdoc.asp?DDFDocuments/v/G/TBTN20/BRA1085A1.DOCX", "https://docs.wto.org/imrd/directdoc.asp?DDFDocuments/v/G/TBTN20/BRA1085A1.DOCX")</f>
      </c>
    </row>
    <row r="137">
      <c r="A137" s="6" t="s">
        <v>124</v>
      </c>
      <c r="B137" s="7">
        <v>45544</v>
      </c>
      <c r="C137" s="6">
        <f>HYPERLINK("https://eping.wto.org/en/Search?viewData= G/TBT/N/ARG/457"," G/TBT/N/ARG/457")</f>
      </c>
      <c r="D137" s="8" t="s">
        <v>658</v>
      </c>
      <c r="E137" s="8" t="s">
        <v>659</v>
      </c>
      <c r="F137" s="8" t="s">
        <v>660</v>
      </c>
      <c r="G137" s="6" t="s">
        <v>40</v>
      </c>
      <c r="H137" s="6" t="s">
        <v>661</v>
      </c>
      <c r="I137" s="6" t="s">
        <v>662</v>
      </c>
      <c r="J137" s="6" t="s">
        <v>40</v>
      </c>
      <c r="K137" s="6"/>
      <c r="L137" s="7" t="s">
        <v>40</v>
      </c>
      <c r="M137" s="6" t="s">
        <v>25</v>
      </c>
      <c r="N137" s="8" t="s">
        <v>663</v>
      </c>
      <c r="O137" s="6">
        <f>HYPERLINK("https://docs.wto.org/imrd/directdoc.asp?DDFDocuments/t/G/TBTN24/ARG457.DOCX", "https://docs.wto.org/imrd/directdoc.asp?DDFDocuments/t/G/TBTN24/ARG457.DOCX")</f>
      </c>
      <c r="P137" s="6">
        <f>HYPERLINK("https://docs.wto.org/imrd/directdoc.asp?DDFDocuments/u/G/TBTN24/ARG457.DOCX", "https://docs.wto.org/imrd/directdoc.asp?DDFDocuments/u/G/TBTN24/ARG457.DOCX")</f>
      </c>
      <c r="Q137" s="6">
        <f>HYPERLINK("https://docs.wto.org/imrd/directdoc.asp?DDFDocuments/v/G/TBTN24/ARG457.DOCX", "https://docs.wto.org/imrd/directdoc.asp?DDFDocuments/v/G/TBTN24/ARG457.DOCX")</f>
      </c>
    </row>
    <row r="138">
      <c r="A138" s="6" t="s">
        <v>160</v>
      </c>
      <c r="B138" s="7">
        <v>45544</v>
      </c>
      <c r="C138" s="6">
        <f>HYPERLINK("https://eping.wto.org/en/Search?viewData= G/TBT/N/USA/2027/Add.1/Corr.1"," G/TBT/N/USA/2027/Add.1/Corr.1")</f>
      </c>
      <c r="D138" s="8" t="s">
        <v>664</v>
      </c>
      <c r="E138" s="8" t="s">
        <v>665</v>
      </c>
      <c r="F138" s="8" t="s">
        <v>666</v>
      </c>
      <c r="G138" s="6" t="s">
        <v>40</v>
      </c>
      <c r="H138" s="6" t="s">
        <v>667</v>
      </c>
      <c r="I138" s="6" t="s">
        <v>668</v>
      </c>
      <c r="J138" s="6" t="s">
        <v>40</v>
      </c>
      <c r="K138" s="6"/>
      <c r="L138" s="7" t="s">
        <v>40</v>
      </c>
      <c r="M138" s="6" t="s">
        <v>224</v>
      </c>
      <c r="N138" s="8" t="s">
        <v>669</v>
      </c>
      <c r="O138" s="6">
        <f>HYPERLINK("https://docs.wto.org/imrd/directdoc.asp?DDFDocuments/t/G/TBTN23/USA2027A1C1.DOCX", "https://docs.wto.org/imrd/directdoc.asp?DDFDocuments/t/G/TBTN23/USA2027A1C1.DOCX")</f>
      </c>
      <c r="P138" s="6">
        <f>HYPERLINK("https://docs.wto.org/imrd/directdoc.asp?DDFDocuments/u/G/TBTN23/USA2027A1C1.DOCX", "https://docs.wto.org/imrd/directdoc.asp?DDFDocuments/u/G/TBTN23/USA2027A1C1.DOCX")</f>
      </c>
      <c r="Q138" s="6">
        <f>HYPERLINK("https://docs.wto.org/imrd/directdoc.asp?DDFDocuments/v/G/TBTN23/USA2027A1C1.DOCX", "https://docs.wto.org/imrd/directdoc.asp?DDFDocuments/v/G/TBTN23/USA2027A1C1.DOCX")</f>
      </c>
    </row>
    <row r="139">
      <c r="A139" s="6" t="s">
        <v>419</v>
      </c>
      <c r="B139" s="7">
        <v>45544</v>
      </c>
      <c r="C139" s="6">
        <f>HYPERLINK("https://eping.wto.org/en/Search?viewData= G/SPS/N/JPN/1288"," G/SPS/N/JPN/1288")</f>
      </c>
      <c r="D139" s="8" t="s">
        <v>628</v>
      </c>
      <c r="E139" s="8" t="s">
        <v>670</v>
      </c>
      <c r="F139" s="8" t="s">
        <v>671</v>
      </c>
      <c r="G139" s="6" t="s">
        <v>672</v>
      </c>
      <c r="H139" s="6" t="s">
        <v>40</v>
      </c>
      <c r="I139" s="6" t="s">
        <v>38</v>
      </c>
      <c r="J139" s="6" t="s">
        <v>636</v>
      </c>
      <c r="K139" s="6" t="s">
        <v>40</v>
      </c>
      <c r="L139" s="7" t="s">
        <v>40</v>
      </c>
      <c r="M139" s="6" t="s">
        <v>25</v>
      </c>
      <c r="N139" s="8" t="s">
        <v>673</v>
      </c>
      <c r="O139" s="6">
        <f>HYPERLINK("https://docs.wto.org/imrd/directdoc.asp?DDFDocuments/t/G/SPS/NJPN1288.DOCX", "https://docs.wto.org/imrd/directdoc.asp?DDFDocuments/t/G/SPS/NJPN1288.DOCX")</f>
      </c>
      <c r="P139" s="6">
        <f>HYPERLINK("https://docs.wto.org/imrd/directdoc.asp?DDFDocuments/u/G/SPS/NJPN1288.DOCX", "https://docs.wto.org/imrd/directdoc.asp?DDFDocuments/u/G/SPS/NJPN1288.DOCX")</f>
      </c>
      <c r="Q139" s="6">
        <f>HYPERLINK("https://docs.wto.org/imrd/directdoc.asp?DDFDocuments/v/G/SPS/NJPN1288.DOCX", "https://docs.wto.org/imrd/directdoc.asp?DDFDocuments/v/G/SPS/NJPN1288.DOCX")</f>
      </c>
    </row>
    <row r="140">
      <c r="A140" s="6" t="s">
        <v>419</v>
      </c>
      <c r="B140" s="7">
        <v>45544</v>
      </c>
      <c r="C140" s="6">
        <f>HYPERLINK("https://eping.wto.org/en/Search?viewData= G/SPS/N/JPN/1283"," G/SPS/N/JPN/1283")</f>
      </c>
      <c r="D140" s="8" t="s">
        <v>628</v>
      </c>
      <c r="E140" s="8" t="s">
        <v>674</v>
      </c>
      <c r="F140" s="8" t="s">
        <v>675</v>
      </c>
      <c r="G140" s="6" t="s">
        <v>676</v>
      </c>
      <c r="H140" s="6" t="s">
        <v>40</v>
      </c>
      <c r="I140" s="6" t="s">
        <v>38</v>
      </c>
      <c r="J140" s="6" t="s">
        <v>641</v>
      </c>
      <c r="K140" s="6" t="s">
        <v>40</v>
      </c>
      <c r="L140" s="7" t="s">
        <v>40</v>
      </c>
      <c r="M140" s="6" t="s">
        <v>25</v>
      </c>
      <c r="N140" s="8" t="s">
        <v>677</v>
      </c>
      <c r="O140" s="6">
        <f>HYPERLINK("https://docs.wto.org/imrd/directdoc.asp?DDFDocuments/t/G/SPS/NJPN1283.DOCX", "https://docs.wto.org/imrd/directdoc.asp?DDFDocuments/t/G/SPS/NJPN1283.DOCX")</f>
      </c>
      <c r="P140" s="6">
        <f>HYPERLINK("https://docs.wto.org/imrd/directdoc.asp?DDFDocuments/u/G/SPS/NJPN1283.DOCX", "https://docs.wto.org/imrd/directdoc.asp?DDFDocuments/u/G/SPS/NJPN1283.DOCX")</f>
      </c>
      <c r="Q140" s="6">
        <f>HYPERLINK("https://docs.wto.org/imrd/directdoc.asp?DDFDocuments/v/G/SPS/NJPN1283.DOCX", "https://docs.wto.org/imrd/directdoc.asp?DDFDocuments/v/G/SPS/NJPN1283.DOCX")</f>
      </c>
    </row>
    <row r="141">
      <c r="A141" s="6" t="s">
        <v>348</v>
      </c>
      <c r="B141" s="7">
        <v>45544</v>
      </c>
      <c r="C141" s="6">
        <f>HYPERLINK("https://eping.wto.org/en/Search?viewData= G/SPS/N/RUS/289"," G/SPS/N/RUS/289")</f>
      </c>
      <c r="D141" s="8" t="s">
        <v>678</v>
      </c>
      <c r="E141" s="8" t="s">
        <v>679</v>
      </c>
      <c r="F141" s="8" t="s">
        <v>351</v>
      </c>
      <c r="G141" s="6" t="s">
        <v>352</v>
      </c>
      <c r="H141" s="6" t="s">
        <v>40</v>
      </c>
      <c r="I141" s="6" t="s">
        <v>353</v>
      </c>
      <c r="J141" s="6" t="s">
        <v>354</v>
      </c>
      <c r="K141" s="6" t="s">
        <v>105</v>
      </c>
      <c r="L141" s="7" t="s">
        <v>40</v>
      </c>
      <c r="M141" s="6" t="s">
        <v>356</v>
      </c>
      <c r="N141" s="8" t="s">
        <v>680</v>
      </c>
      <c r="O141" s="6">
        <f>HYPERLINK("https://docs.wto.org/imrd/directdoc.asp?DDFDocuments/t/G/SPS/NRUS289.DOCX", "https://docs.wto.org/imrd/directdoc.asp?DDFDocuments/t/G/SPS/NRUS289.DOCX")</f>
      </c>
      <c r="P141" s="6">
        <f>HYPERLINK("https://docs.wto.org/imrd/directdoc.asp?DDFDocuments/u/G/SPS/NRUS289.DOCX", "https://docs.wto.org/imrd/directdoc.asp?DDFDocuments/u/G/SPS/NRUS289.DOCX")</f>
      </c>
      <c r="Q141" s="6">
        <f>HYPERLINK("https://docs.wto.org/imrd/directdoc.asp?DDFDocuments/v/G/SPS/NRUS289.DOCX", "https://docs.wto.org/imrd/directdoc.asp?DDFDocuments/v/G/SPS/NRUS289.DOCX")</f>
      </c>
    </row>
    <row r="142">
      <c r="A142" s="6" t="s">
        <v>160</v>
      </c>
      <c r="B142" s="7">
        <v>45544</v>
      </c>
      <c r="C142" s="6">
        <f>HYPERLINK("https://eping.wto.org/en/Search?viewData= G/TBT/N/USA/2142"," G/TBT/N/USA/2142")</f>
      </c>
      <c r="D142" s="8" t="s">
        <v>681</v>
      </c>
      <c r="E142" s="8" t="s">
        <v>682</v>
      </c>
      <c r="F142" s="8" t="s">
        <v>683</v>
      </c>
      <c r="G142" s="6" t="s">
        <v>40</v>
      </c>
      <c r="H142" s="6" t="s">
        <v>684</v>
      </c>
      <c r="I142" s="6" t="s">
        <v>75</v>
      </c>
      <c r="J142" s="6" t="s">
        <v>40</v>
      </c>
      <c r="K142" s="6"/>
      <c r="L142" s="7">
        <v>45600</v>
      </c>
      <c r="M142" s="6" t="s">
        <v>25</v>
      </c>
      <c r="N142" s="8" t="s">
        <v>685</v>
      </c>
      <c r="O142" s="6">
        <f>HYPERLINK("https://docs.wto.org/imrd/directdoc.asp?DDFDocuments/t/G/TBTN24/USA2142.DOCX", "https://docs.wto.org/imrd/directdoc.asp?DDFDocuments/t/G/TBTN24/USA2142.DOCX")</f>
      </c>
      <c r="P142" s="6">
        <f>HYPERLINK("https://docs.wto.org/imrd/directdoc.asp?DDFDocuments/u/G/TBTN24/USA2142.DOCX", "https://docs.wto.org/imrd/directdoc.asp?DDFDocuments/u/G/TBTN24/USA2142.DOCX")</f>
      </c>
      <c r="Q142" s="6">
        <f>HYPERLINK("https://docs.wto.org/imrd/directdoc.asp?DDFDocuments/v/G/TBTN24/USA2142.DOCX", "https://docs.wto.org/imrd/directdoc.asp?DDFDocuments/v/G/TBTN24/USA2142.DOCX")</f>
      </c>
    </row>
    <row r="143">
      <c r="A143" s="6" t="s">
        <v>99</v>
      </c>
      <c r="B143" s="7">
        <v>45544</v>
      </c>
      <c r="C143" s="6">
        <f>HYPERLINK("https://eping.wto.org/en/Search?viewData= G/SPS/N/AUS/600"," G/SPS/N/AUS/600")</f>
      </c>
      <c r="D143" s="8" t="s">
        <v>686</v>
      </c>
      <c r="E143" s="8" t="s">
        <v>687</v>
      </c>
      <c r="F143" s="8" t="s">
        <v>688</v>
      </c>
      <c r="G143" s="6" t="s">
        <v>689</v>
      </c>
      <c r="H143" s="6" t="s">
        <v>40</v>
      </c>
      <c r="I143" s="6" t="s">
        <v>369</v>
      </c>
      <c r="J143" s="6" t="s">
        <v>690</v>
      </c>
      <c r="K143" s="6" t="s">
        <v>160</v>
      </c>
      <c r="L143" s="7">
        <v>45550</v>
      </c>
      <c r="M143" s="6" t="s">
        <v>25</v>
      </c>
      <c r="N143" s="8" t="s">
        <v>691</v>
      </c>
      <c r="O143" s="6">
        <f>HYPERLINK("https://docs.wto.org/imrd/directdoc.asp?DDFDocuments/t/G/SPS/NAUS600.DOCX", "https://docs.wto.org/imrd/directdoc.asp?DDFDocuments/t/G/SPS/NAUS600.DOCX")</f>
      </c>
      <c r="P143" s="6">
        <f>HYPERLINK("https://docs.wto.org/imrd/directdoc.asp?DDFDocuments/u/G/SPS/NAUS600.DOCX", "https://docs.wto.org/imrd/directdoc.asp?DDFDocuments/u/G/SPS/NAUS600.DOCX")</f>
      </c>
      <c r="Q143" s="6">
        <f>HYPERLINK("https://docs.wto.org/imrd/directdoc.asp?DDFDocuments/v/G/SPS/NAUS600.DOCX", "https://docs.wto.org/imrd/directdoc.asp?DDFDocuments/v/G/SPS/NAUS600.DOCX")</f>
      </c>
    </row>
    <row r="144">
      <c r="A144" s="6" t="s">
        <v>401</v>
      </c>
      <c r="B144" s="7">
        <v>45544</v>
      </c>
      <c r="C144" s="6">
        <f>HYPERLINK("https://eping.wto.org/en/Search?viewData= G/TBT/N/KOR/1229"," G/TBT/N/KOR/1229")</f>
      </c>
      <c r="D144" s="8" t="s">
        <v>692</v>
      </c>
      <c r="E144" s="8" t="s">
        <v>693</v>
      </c>
      <c r="F144" s="8" t="s">
        <v>694</v>
      </c>
      <c r="G144" s="6" t="s">
        <v>40</v>
      </c>
      <c r="H144" s="6" t="s">
        <v>93</v>
      </c>
      <c r="I144" s="6" t="s">
        <v>147</v>
      </c>
      <c r="J144" s="6" t="s">
        <v>95</v>
      </c>
      <c r="K144" s="6"/>
      <c r="L144" s="7">
        <v>45564</v>
      </c>
      <c r="M144" s="6" t="s">
        <v>25</v>
      </c>
      <c r="N144" s="8" t="s">
        <v>695</v>
      </c>
      <c r="O144" s="6">
        <f>HYPERLINK("https://docs.wto.org/imrd/directdoc.asp?DDFDocuments/t/G/TBTN24/KOR1229.DOCX", "https://docs.wto.org/imrd/directdoc.asp?DDFDocuments/t/G/TBTN24/KOR1229.DOCX")</f>
      </c>
      <c r="P144" s="6">
        <f>HYPERLINK("https://docs.wto.org/imrd/directdoc.asp?DDFDocuments/u/G/TBTN24/KOR1229.DOCX", "https://docs.wto.org/imrd/directdoc.asp?DDFDocuments/u/G/TBTN24/KOR1229.DOCX")</f>
      </c>
      <c r="Q144" s="6">
        <f>HYPERLINK("https://docs.wto.org/imrd/directdoc.asp?DDFDocuments/v/G/TBTN24/KOR1229.DOCX", "https://docs.wto.org/imrd/directdoc.asp?DDFDocuments/v/G/TBTN24/KOR1229.DOCX")</f>
      </c>
    </row>
    <row r="145">
      <c r="A145" s="6" t="s">
        <v>115</v>
      </c>
      <c r="B145" s="7">
        <v>45544</v>
      </c>
      <c r="C145" s="6">
        <f>HYPERLINK("https://eping.wto.org/en/Search?viewData= G/SPS/N/BRA/1674/Add.2"," G/SPS/N/BRA/1674/Add.2")</f>
      </c>
      <c r="D145" s="8" t="s">
        <v>696</v>
      </c>
      <c r="E145" s="8" t="s">
        <v>697</v>
      </c>
      <c r="F145" s="8" t="s">
        <v>698</v>
      </c>
      <c r="G145" s="6" t="s">
        <v>699</v>
      </c>
      <c r="H145" s="6" t="s">
        <v>700</v>
      </c>
      <c r="I145" s="6" t="s">
        <v>38</v>
      </c>
      <c r="J145" s="6" t="s">
        <v>484</v>
      </c>
      <c r="K145" s="6"/>
      <c r="L145" s="7">
        <v>45604</v>
      </c>
      <c r="M145" s="6" t="s">
        <v>76</v>
      </c>
      <c r="N145" s="8" t="s">
        <v>701</v>
      </c>
      <c r="O145" s="6">
        <f>HYPERLINK("https://docs.wto.org/imrd/directdoc.asp?DDFDocuments/t/G/SPS/NBRA1674A2.DOCX", "https://docs.wto.org/imrd/directdoc.asp?DDFDocuments/t/G/SPS/NBRA1674A2.DOCX")</f>
      </c>
      <c r="P145" s="6">
        <f>HYPERLINK("https://docs.wto.org/imrd/directdoc.asp?DDFDocuments/u/G/SPS/NBRA1674A2.DOCX", "https://docs.wto.org/imrd/directdoc.asp?DDFDocuments/u/G/SPS/NBRA1674A2.DOCX")</f>
      </c>
      <c r="Q145" s="6">
        <f>HYPERLINK("https://docs.wto.org/imrd/directdoc.asp?DDFDocuments/v/G/SPS/NBRA1674A2.DOCX", "https://docs.wto.org/imrd/directdoc.asp?DDFDocuments/v/G/SPS/NBRA1674A2.DOCX")</f>
      </c>
    </row>
    <row r="146">
      <c r="A146" s="6" t="s">
        <v>419</v>
      </c>
      <c r="B146" s="7">
        <v>45544</v>
      </c>
      <c r="C146" s="6">
        <f>HYPERLINK("https://eping.wto.org/en/Search?viewData= G/SPS/N/JPN/1278"," G/SPS/N/JPN/1278")</f>
      </c>
      <c r="D146" s="8" t="s">
        <v>628</v>
      </c>
      <c r="E146" s="8" t="s">
        <v>702</v>
      </c>
      <c r="F146" s="8" t="s">
        <v>703</v>
      </c>
      <c r="G146" s="6" t="s">
        <v>704</v>
      </c>
      <c r="H146" s="6" t="s">
        <v>40</v>
      </c>
      <c r="I146" s="6" t="s">
        <v>38</v>
      </c>
      <c r="J146" s="6" t="s">
        <v>103</v>
      </c>
      <c r="K146" s="6" t="s">
        <v>40</v>
      </c>
      <c r="L146" s="7">
        <v>45604</v>
      </c>
      <c r="M146" s="6" t="s">
        <v>25</v>
      </c>
      <c r="N146" s="8" t="s">
        <v>705</v>
      </c>
      <c r="O146" s="6">
        <f>HYPERLINK("https://docs.wto.org/imrd/directdoc.asp?DDFDocuments/t/G/SPS/NJPN1278.DOCX", "https://docs.wto.org/imrd/directdoc.asp?DDFDocuments/t/G/SPS/NJPN1278.DOCX")</f>
      </c>
      <c r="P146" s="6">
        <f>HYPERLINK("https://docs.wto.org/imrd/directdoc.asp?DDFDocuments/u/G/SPS/NJPN1278.DOCX", "https://docs.wto.org/imrd/directdoc.asp?DDFDocuments/u/G/SPS/NJPN1278.DOCX")</f>
      </c>
      <c r="Q146" s="6">
        <f>HYPERLINK("https://docs.wto.org/imrd/directdoc.asp?DDFDocuments/v/G/SPS/NJPN1278.DOCX", "https://docs.wto.org/imrd/directdoc.asp?DDFDocuments/v/G/SPS/NJPN1278.DOCX")</f>
      </c>
    </row>
    <row r="147">
      <c r="A147" s="6" t="s">
        <v>307</v>
      </c>
      <c r="B147" s="7">
        <v>45544</v>
      </c>
      <c r="C147" s="6">
        <f>HYPERLINK("https://eping.wto.org/en/Search?viewData= G/SPS/N/CAN/1556/Add.1"," G/SPS/N/CAN/1556/Add.1")</f>
      </c>
      <c r="D147" s="8" t="s">
        <v>706</v>
      </c>
      <c r="E147" s="8" t="s">
        <v>707</v>
      </c>
      <c r="F147" s="8" t="s">
        <v>708</v>
      </c>
      <c r="G147" s="6" t="s">
        <v>40</v>
      </c>
      <c r="H147" s="6" t="s">
        <v>709</v>
      </c>
      <c r="I147" s="6" t="s">
        <v>38</v>
      </c>
      <c r="J147" s="6" t="s">
        <v>582</v>
      </c>
      <c r="K147" s="6"/>
      <c r="L147" s="7" t="s">
        <v>40</v>
      </c>
      <c r="M147" s="6" t="s">
        <v>76</v>
      </c>
      <c r="N147" s="6"/>
      <c r="O147" s="6">
        <f>HYPERLINK("https://docs.wto.org/imrd/directdoc.asp?DDFDocuments/t/G/SPS/NCAN1556A1.DOCX", "https://docs.wto.org/imrd/directdoc.asp?DDFDocuments/t/G/SPS/NCAN1556A1.DOCX")</f>
      </c>
      <c r="P147" s="6">
        <f>HYPERLINK("https://docs.wto.org/imrd/directdoc.asp?DDFDocuments/u/G/SPS/NCAN1556A1.DOCX", "https://docs.wto.org/imrd/directdoc.asp?DDFDocuments/u/G/SPS/NCAN1556A1.DOCX")</f>
      </c>
      <c r="Q147" s="6">
        <f>HYPERLINK("https://docs.wto.org/imrd/directdoc.asp?DDFDocuments/v/G/SPS/NCAN1556A1.DOCX", "https://docs.wto.org/imrd/directdoc.asp?DDFDocuments/v/G/SPS/NCAN1556A1.DOCX")</f>
      </c>
    </row>
    <row r="148">
      <c r="A148" s="6" t="s">
        <v>239</v>
      </c>
      <c r="B148" s="7">
        <v>45544</v>
      </c>
      <c r="C148" s="6">
        <f>HYPERLINK("https://eping.wto.org/en/Search?viewData= G/TBT/N/VNM/313"," G/TBT/N/VNM/313")</f>
      </c>
      <c r="D148" s="8" t="s">
        <v>710</v>
      </c>
      <c r="E148" s="8" t="s">
        <v>711</v>
      </c>
      <c r="F148" s="8" t="s">
        <v>712</v>
      </c>
      <c r="G148" s="6" t="s">
        <v>40</v>
      </c>
      <c r="H148" s="6" t="s">
        <v>40</v>
      </c>
      <c r="I148" s="6" t="s">
        <v>147</v>
      </c>
      <c r="J148" s="6" t="s">
        <v>40</v>
      </c>
      <c r="K148" s="6"/>
      <c r="L148" s="7">
        <v>45604</v>
      </c>
      <c r="M148" s="6" t="s">
        <v>25</v>
      </c>
      <c r="N148" s="8" t="s">
        <v>713</v>
      </c>
      <c r="O148" s="6">
        <f>HYPERLINK("https://docs.wto.org/imrd/directdoc.asp?DDFDocuments/t/G/TBTN24/VNM313.DOCX", "https://docs.wto.org/imrd/directdoc.asp?DDFDocuments/t/G/TBTN24/VNM313.DOCX")</f>
      </c>
      <c r="P148" s="6">
        <f>HYPERLINK("https://docs.wto.org/imrd/directdoc.asp?DDFDocuments/u/G/TBTN24/VNM313.DOCX", "https://docs.wto.org/imrd/directdoc.asp?DDFDocuments/u/G/TBTN24/VNM313.DOCX")</f>
      </c>
      <c r="Q148" s="6">
        <f>HYPERLINK("https://docs.wto.org/imrd/directdoc.asp?DDFDocuments/v/G/TBTN24/VNM313.DOCX", "https://docs.wto.org/imrd/directdoc.asp?DDFDocuments/v/G/TBTN24/VNM313.DOCX")</f>
      </c>
    </row>
    <row r="149">
      <c r="A149" s="6" t="s">
        <v>419</v>
      </c>
      <c r="B149" s="7">
        <v>45544</v>
      </c>
      <c r="C149" s="6">
        <f>HYPERLINK("https://eping.wto.org/en/Search?viewData= G/SPS/N/JPN/1282"," G/SPS/N/JPN/1282")</f>
      </c>
      <c r="D149" s="8" t="s">
        <v>628</v>
      </c>
      <c r="E149" s="8" t="s">
        <v>714</v>
      </c>
      <c r="F149" s="8" t="s">
        <v>715</v>
      </c>
      <c r="G149" s="6" t="s">
        <v>716</v>
      </c>
      <c r="H149" s="6" t="s">
        <v>40</v>
      </c>
      <c r="I149" s="6" t="s">
        <v>38</v>
      </c>
      <c r="J149" s="6" t="s">
        <v>641</v>
      </c>
      <c r="K149" s="6" t="s">
        <v>40</v>
      </c>
      <c r="L149" s="7">
        <v>45604</v>
      </c>
      <c r="M149" s="6" t="s">
        <v>25</v>
      </c>
      <c r="N149" s="8" t="s">
        <v>717</v>
      </c>
      <c r="O149" s="6">
        <f>HYPERLINK("https://docs.wto.org/imrd/directdoc.asp?DDFDocuments/t/G/SPS/NJPN1282.DOCX", "https://docs.wto.org/imrd/directdoc.asp?DDFDocuments/t/G/SPS/NJPN1282.DOCX")</f>
      </c>
      <c r="P149" s="6">
        <f>HYPERLINK("https://docs.wto.org/imrd/directdoc.asp?DDFDocuments/u/G/SPS/NJPN1282.DOCX", "https://docs.wto.org/imrd/directdoc.asp?DDFDocuments/u/G/SPS/NJPN1282.DOCX")</f>
      </c>
      <c r="Q149" s="6">
        <f>HYPERLINK("https://docs.wto.org/imrd/directdoc.asp?DDFDocuments/v/G/SPS/NJPN1282.DOCX", "https://docs.wto.org/imrd/directdoc.asp?DDFDocuments/v/G/SPS/NJPN1282.DOCX")</f>
      </c>
    </row>
    <row r="150">
      <c r="A150" s="6" t="s">
        <v>419</v>
      </c>
      <c r="B150" s="7">
        <v>45544</v>
      </c>
      <c r="C150" s="6">
        <f>HYPERLINK("https://eping.wto.org/en/Search?viewData= G/SPS/N/JPN/1289"," G/SPS/N/JPN/1289")</f>
      </c>
      <c r="D150" s="8" t="s">
        <v>628</v>
      </c>
      <c r="E150" s="8" t="s">
        <v>718</v>
      </c>
      <c r="F150" s="8" t="s">
        <v>719</v>
      </c>
      <c r="G150" s="6" t="s">
        <v>720</v>
      </c>
      <c r="H150" s="6" t="s">
        <v>40</v>
      </c>
      <c r="I150" s="6" t="s">
        <v>38</v>
      </c>
      <c r="J150" s="6" t="s">
        <v>641</v>
      </c>
      <c r="K150" s="6" t="s">
        <v>40</v>
      </c>
      <c r="L150" s="7" t="s">
        <v>40</v>
      </c>
      <c r="M150" s="6" t="s">
        <v>25</v>
      </c>
      <c r="N150" s="8" t="s">
        <v>721</v>
      </c>
      <c r="O150" s="6">
        <f>HYPERLINK("https://docs.wto.org/imrd/directdoc.asp?DDFDocuments/t/G/SPS/NJPN1289.DOCX", "https://docs.wto.org/imrd/directdoc.asp?DDFDocuments/t/G/SPS/NJPN1289.DOCX")</f>
      </c>
      <c r="P150" s="6">
        <f>HYPERLINK("https://docs.wto.org/imrd/directdoc.asp?DDFDocuments/u/G/SPS/NJPN1289.DOCX", "https://docs.wto.org/imrd/directdoc.asp?DDFDocuments/u/G/SPS/NJPN1289.DOCX")</f>
      </c>
      <c r="Q150" s="6">
        <f>HYPERLINK("https://docs.wto.org/imrd/directdoc.asp?DDFDocuments/v/G/SPS/NJPN1289.DOCX", "https://docs.wto.org/imrd/directdoc.asp?DDFDocuments/v/G/SPS/NJPN1289.DOCX")</f>
      </c>
    </row>
    <row r="151">
      <c r="A151" s="6" t="s">
        <v>419</v>
      </c>
      <c r="B151" s="7">
        <v>45544</v>
      </c>
      <c r="C151" s="6">
        <f>HYPERLINK("https://eping.wto.org/en/Search?viewData= G/SPS/N/JPN/1290"," G/SPS/N/JPN/1290")</f>
      </c>
      <c r="D151" s="8" t="s">
        <v>628</v>
      </c>
      <c r="E151" s="8" t="s">
        <v>722</v>
      </c>
      <c r="F151" s="8" t="s">
        <v>723</v>
      </c>
      <c r="G151" s="6" t="s">
        <v>724</v>
      </c>
      <c r="H151" s="6" t="s">
        <v>40</v>
      </c>
      <c r="I151" s="6" t="s">
        <v>38</v>
      </c>
      <c r="J151" s="6" t="s">
        <v>636</v>
      </c>
      <c r="K151" s="6" t="s">
        <v>40</v>
      </c>
      <c r="L151" s="7" t="s">
        <v>40</v>
      </c>
      <c r="M151" s="6" t="s">
        <v>25</v>
      </c>
      <c r="N151" s="8" t="s">
        <v>725</v>
      </c>
      <c r="O151" s="6">
        <f>HYPERLINK("https://docs.wto.org/imrd/directdoc.asp?DDFDocuments/t/G/SPS/NJPN1290.DOCX", "https://docs.wto.org/imrd/directdoc.asp?DDFDocuments/t/G/SPS/NJPN1290.DOCX")</f>
      </c>
      <c r="P151" s="6">
        <f>HYPERLINK("https://docs.wto.org/imrd/directdoc.asp?DDFDocuments/u/G/SPS/NJPN1290.DOCX", "https://docs.wto.org/imrd/directdoc.asp?DDFDocuments/u/G/SPS/NJPN1290.DOCX")</f>
      </c>
      <c r="Q151" s="6">
        <f>HYPERLINK("https://docs.wto.org/imrd/directdoc.asp?DDFDocuments/v/G/SPS/NJPN1290.DOCX", "https://docs.wto.org/imrd/directdoc.asp?DDFDocuments/v/G/SPS/NJPN1290.DOCX")</f>
      </c>
    </row>
    <row r="152">
      <c r="A152" s="6" t="s">
        <v>419</v>
      </c>
      <c r="B152" s="7">
        <v>45544</v>
      </c>
      <c r="C152" s="6">
        <f>HYPERLINK("https://eping.wto.org/en/Search?viewData= G/SPS/N/JPN/1291"," G/SPS/N/JPN/1291")</f>
      </c>
      <c r="D152" s="8" t="s">
        <v>628</v>
      </c>
      <c r="E152" s="8" t="s">
        <v>726</v>
      </c>
      <c r="F152" s="8" t="s">
        <v>727</v>
      </c>
      <c r="G152" s="6" t="s">
        <v>728</v>
      </c>
      <c r="H152" s="6" t="s">
        <v>40</v>
      </c>
      <c r="I152" s="6" t="s">
        <v>38</v>
      </c>
      <c r="J152" s="6" t="s">
        <v>636</v>
      </c>
      <c r="K152" s="6" t="s">
        <v>40</v>
      </c>
      <c r="L152" s="7" t="s">
        <v>40</v>
      </c>
      <c r="M152" s="6" t="s">
        <v>25</v>
      </c>
      <c r="N152" s="8" t="s">
        <v>729</v>
      </c>
      <c r="O152" s="6">
        <f>HYPERLINK("https://docs.wto.org/imrd/directdoc.asp?DDFDocuments/t/G/SPS/NJPN1291.DOCX", "https://docs.wto.org/imrd/directdoc.asp?DDFDocuments/t/G/SPS/NJPN1291.DOCX")</f>
      </c>
      <c r="P152" s="6">
        <f>HYPERLINK("https://docs.wto.org/imrd/directdoc.asp?DDFDocuments/u/G/SPS/NJPN1291.DOCX", "https://docs.wto.org/imrd/directdoc.asp?DDFDocuments/u/G/SPS/NJPN1291.DOCX")</f>
      </c>
      <c r="Q152" s="6">
        <f>HYPERLINK("https://docs.wto.org/imrd/directdoc.asp?DDFDocuments/v/G/SPS/NJPN1291.DOCX", "https://docs.wto.org/imrd/directdoc.asp?DDFDocuments/v/G/SPS/NJPN1291.DOCX")</f>
      </c>
    </row>
    <row r="153">
      <c r="A153" s="6" t="s">
        <v>419</v>
      </c>
      <c r="B153" s="7">
        <v>45544</v>
      </c>
      <c r="C153" s="6">
        <f>HYPERLINK("https://eping.wto.org/en/Search?viewData= G/SPS/N/JPN/1292"," G/SPS/N/JPN/1292")</f>
      </c>
      <c r="D153" s="8" t="s">
        <v>628</v>
      </c>
      <c r="E153" s="8" t="s">
        <v>730</v>
      </c>
      <c r="F153" s="8" t="s">
        <v>731</v>
      </c>
      <c r="G153" s="6" t="s">
        <v>732</v>
      </c>
      <c r="H153" s="6" t="s">
        <v>40</v>
      </c>
      <c r="I153" s="6" t="s">
        <v>38</v>
      </c>
      <c r="J153" s="6" t="s">
        <v>636</v>
      </c>
      <c r="K153" s="6" t="s">
        <v>40</v>
      </c>
      <c r="L153" s="7" t="s">
        <v>40</v>
      </c>
      <c r="M153" s="6" t="s">
        <v>25</v>
      </c>
      <c r="N153" s="8" t="s">
        <v>733</v>
      </c>
      <c r="O153" s="6">
        <f>HYPERLINK("https://docs.wto.org/imrd/directdoc.asp?DDFDocuments/t/G/SPS/NJPN1292.DOCX", "https://docs.wto.org/imrd/directdoc.asp?DDFDocuments/t/G/SPS/NJPN1292.DOCX")</f>
      </c>
      <c r="P153" s="6">
        <f>HYPERLINK("https://docs.wto.org/imrd/directdoc.asp?DDFDocuments/u/G/SPS/NJPN1292.DOCX", "https://docs.wto.org/imrd/directdoc.asp?DDFDocuments/u/G/SPS/NJPN1292.DOCX")</f>
      </c>
      <c r="Q153" s="6">
        <f>HYPERLINK("https://docs.wto.org/imrd/directdoc.asp?DDFDocuments/v/G/SPS/NJPN1292.DOCX", "https://docs.wto.org/imrd/directdoc.asp?DDFDocuments/v/G/SPS/NJPN1292.DOCX")</f>
      </c>
    </row>
    <row r="154">
      <c r="A154" s="6" t="s">
        <v>419</v>
      </c>
      <c r="B154" s="7">
        <v>45544</v>
      </c>
      <c r="C154" s="6">
        <f>HYPERLINK("https://eping.wto.org/en/Search?viewData= G/SPS/N/JPN/1285"," G/SPS/N/JPN/1285")</f>
      </c>
      <c r="D154" s="8" t="s">
        <v>628</v>
      </c>
      <c r="E154" s="8" t="s">
        <v>734</v>
      </c>
      <c r="F154" s="8" t="s">
        <v>735</v>
      </c>
      <c r="G154" s="6" t="s">
        <v>649</v>
      </c>
      <c r="H154" s="6" t="s">
        <v>40</v>
      </c>
      <c r="I154" s="6" t="s">
        <v>38</v>
      </c>
      <c r="J154" s="6" t="s">
        <v>641</v>
      </c>
      <c r="K154" s="6" t="s">
        <v>40</v>
      </c>
      <c r="L154" s="7" t="s">
        <v>40</v>
      </c>
      <c r="M154" s="6" t="s">
        <v>25</v>
      </c>
      <c r="N154" s="8" t="s">
        <v>736</v>
      </c>
      <c r="O154" s="6">
        <f>HYPERLINK("https://docs.wto.org/imrd/directdoc.asp?DDFDocuments/t/G/SPS/NJPN1285.DOCX", "https://docs.wto.org/imrd/directdoc.asp?DDFDocuments/t/G/SPS/NJPN1285.DOCX")</f>
      </c>
      <c r="P154" s="6">
        <f>HYPERLINK("https://docs.wto.org/imrd/directdoc.asp?DDFDocuments/u/G/SPS/NJPN1285.DOCX", "https://docs.wto.org/imrd/directdoc.asp?DDFDocuments/u/G/SPS/NJPN1285.DOCX")</f>
      </c>
      <c r="Q154" s="6">
        <f>HYPERLINK("https://docs.wto.org/imrd/directdoc.asp?DDFDocuments/v/G/SPS/NJPN1285.DOCX", "https://docs.wto.org/imrd/directdoc.asp?DDFDocuments/v/G/SPS/NJPN1285.DOCX")</f>
      </c>
    </row>
    <row r="155">
      <c r="A155" s="6" t="s">
        <v>419</v>
      </c>
      <c r="B155" s="7">
        <v>45544</v>
      </c>
      <c r="C155" s="6">
        <f>HYPERLINK("https://eping.wto.org/en/Search?viewData= G/SPS/N/JPN/1287"," G/SPS/N/JPN/1287")</f>
      </c>
      <c r="D155" s="8" t="s">
        <v>628</v>
      </c>
      <c r="E155" s="8" t="s">
        <v>737</v>
      </c>
      <c r="F155" s="8" t="s">
        <v>738</v>
      </c>
      <c r="G155" s="6" t="s">
        <v>739</v>
      </c>
      <c r="H155" s="6" t="s">
        <v>40</v>
      </c>
      <c r="I155" s="6" t="s">
        <v>38</v>
      </c>
      <c r="J155" s="6" t="s">
        <v>636</v>
      </c>
      <c r="K155" s="6" t="s">
        <v>40</v>
      </c>
      <c r="L155" s="7" t="s">
        <v>40</v>
      </c>
      <c r="M155" s="6" t="s">
        <v>25</v>
      </c>
      <c r="N155" s="8" t="s">
        <v>740</v>
      </c>
      <c r="O155" s="6">
        <f>HYPERLINK("https://docs.wto.org/imrd/directdoc.asp?DDFDocuments/t/G/SPS/NJPN1287.DOCX", "https://docs.wto.org/imrd/directdoc.asp?DDFDocuments/t/G/SPS/NJPN1287.DOCX")</f>
      </c>
      <c r="P155" s="6">
        <f>HYPERLINK("https://docs.wto.org/imrd/directdoc.asp?DDFDocuments/u/G/SPS/NJPN1287.DOCX", "https://docs.wto.org/imrd/directdoc.asp?DDFDocuments/u/G/SPS/NJPN1287.DOCX")</f>
      </c>
      <c r="Q155" s="6">
        <f>HYPERLINK("https://docs.wto.org/imrd/directdoc.asp?DDFDocuments/v/G/SPS/NJPN1287.DOCX", "https://docs.wto.org/imrd/directdoc.asp?DDFDocuments/v/G/SPS/NJPN1287.DOCX")</f>
      </c>
    </row>
    <row r="156">
      <c r="A156" s="6" t="s">
        <v>99</v>
      </c>
      <c r="B156" s="7">
        <v>45544</v>
      </c>
      <c r="C156" s="6">
        <f>HYPERLINK("https://eping.wto.org/en/Search?viewData= G/SPS/N/AUS/601"," G/SPS/N/AUS/601")</f>
      </c>
      <c r="D156" s="8" t="s">
        <v>741</v>
      </c>
      <c r="E156" s="8" t="s">
        <v>742</v>
      </c>
      <c r="F156" s="8" t="s">
        <v>688</v>
      </c>
      <c r="G156" s="6" t="s">
        <v>689</v>
      </c>
      <c r="H156" s="6" t="s">
        <v>40</v>
      </c>
      <c r="I156" s="6" t="s">
        <v>369</v>
      </c>
      <c r="J156" s="6" t="s">
        <v>370</v>
      </c>
      <c r="K156" s="6" t="s">
        <v>373</v>
      </c>
      <c r="L156" s="7">
        <v>45550</v>
      </c>
      <c r="M156" s="6" t="s">
        <v>25</v>
      </c>
      <c r="N156" s="8" t="s">
        <v>691</v>
      </c>
      <c r="O156" s="6">
        <f>HYPERLINK("https://docs.wto.org/imrd/directdoc.asp?DDFDocuments/t/G/SPS/NAUS601.DOCX", "https://docs.wto.org/imrd/directdoc.asp?DDFDocuments/t/G/SPS/NAUS601.DOCX")</f>
      </c>
      <c r="P156" s="6">
        <f>HYPERLINK("https://docs.wto.org/imrd/directdoc.asp?DDFDocuments/u/G/SPS/NAUS601.DOCX", "https://docs.wto.org/imrd/directdoc.asp?DDFDocuments/u/G/SPS/NAUS601.DOCX")</f>
      </c>
      <c r="Q156" s="6">
        <f>HYPERLINK("https://docs.wto.org/imrd/directdoc.asp?DDFDocuments/v/G/SPS/NAUS601.DOCX", "https://docs.wto.org/imrd/directdoc.asp?DDFDocuments/v/G/SPS/NAUS601.DOCX")</f>
      </c>
    </row>
    <row r="157">
      <c r="A157" s="6" t="s">
        <v>419</v>
      </c>
      <c r="B157" s="7">
        <v>45544</v>
      </c>
      <c r="C157" s="6">
        <f>HYPERLINK("https://eping.wto.org/en/Search?viewData= G/SPS/N/JPN/1277"," G/SPS/N/JPN/1277")</f>
      </c>
      <c r="D157" s="8" t="s">
        <v>628</v>
      </c>
      <c r="E157" s="8" t="s">
        <v>743</v>
      </c>
      <c r="F157" s="8" t="s">
        <v>744</v>
      </c>
      <c r="G157" s="6" t="s">
        <v>40</v>
      </c>
      <c r="H157" s="6" t="s">
        <v>40</v>
      </c>
      <c r="I157" s="6" t="s">
        <v>38</v>
      </c>
      <c r="J157" s="6" t="s">
        <v>103</v>
      </c>
      <c r="K157" s="6" t="s">
        <v>40</v>
      </c>
      <c r="L157" s="7" t="s">
        <v>40</v>
      </c>
      <c r="M157" s="6" t="s">
        <v>25</v>
      </c>
      <c r="N157" s="8" t="s">
        <v>745</v>
      </c>
      <c r="O157" s="6">
        <f>HYPERLINK("https://docs.wto.org/imrd/directdoc.asp?DDFDocuments/t/G/SPS/NJPN1277.DOCX", "https://docs.wto.org/imrd/directdoc.asp?DDFDocuments/t/G/SPS/NJPN1277.DOCX")</f>
      </c>
      <c r="P157" s="6">
        <f>HYPERLINK("https://docs.wto.org/imrd/directdoc.asp?DDFDocuments/u/G/SPS/NJPN1277.DOCX", "https://docs.wto.org/imrd/directdoc.asp?DDFDocuments/u/G/SPS/NJPN1277.DOCX")</f>
      </c>
      <c r="Q157" s="6">
        <f>HYPERLINK("https://docs.wto.org/imrd/directdoc.asp?DDFDocuments/v/G/SPS/NJPN1277.DOCX", "https://docs.wto.org/imrd/directdoc.asp?DDFDocuments/v/G/SPS/NJPN1277.DOCX")</f>
      </c>
    </row>
    <row r="158">
      <c r="A158" s="6" t="s">
        <v>70</v>
      </c>
      <c r="B158" s="7">
        <v>45544</v>
      </c>
      <c r="C158" s="6">
        <f>HYPERLINK("https://eping.wto.org/en/Search?viewData= G/TBT/N/UKR/288/Add.1"," G/TBT/N/UKR/288/Add.1")</f>
      </c>
      <c r="D158" s="8" t="s">
        <v>746</v>
      </c>
      <c r="E158" s="8" t="s">
        <v>747</v>
      </c>
      <c r="F158" s="8" t="s">
        <v>748</v>
      </c>
      <c r="G158" s="6" t="s">
        <v>749</v>
      </c>
      <c r="H158" s="6" t="s">
        <v>750</v>
      </c>
      <c r="I158" s="6" t="s">
        <v>337</v>
      </c>
      <c r="J158" s="6" t="s">
        <v>40</v>
      </c>
      <c r="K158" s="6"/>
      <c r="L158" s="7" t="s">
        <v>40</v>
      </c>
      <c r="M158" s="6" t="s">
        <v>76</v>
      </c>
      <c r="N158" s="8" t="s">
        <v>751</v>
      </c>
      <c r="O158" s="6">
        <f>HYPERLINK("https://docs.wto.org/imrd/directdoc.asp?DDFDocuments/t/G/TBTN24/UKR288A1.DOCX", "https://docs.wto.org/imrd/directdoc.asp?DDFDocuments/t/G/TBTN24/UKR288A1.DOCX")</f>
      </c>
      <c r="P158" s="6">
        <f>HYPERLINK("https://docs.wto.org/imrd/directdoc.asp?DDFDocuments/u/G/TBTN24/UKR288A1.DOCX", "https://docs.wto.org/imrd/directdoc.asp?DDFDocuments/u/G/TBTN24/UKR288A1.DOCX")</f>
      </c>
      <c r="Q158" s="6">
        <f>HYPERLINK("https://docs.wto.org/imrd/directdoc.asp?DDFDocuments/v/G/TBTN24/UKR288A1.DOCX", "https://docs.wto.org/imrd/directdoc.asp?DDFDocuments/v/G/TBTN24/UKR288A1.DOCX")</f>
      </c>
    </row>
    <row r="159">
      <c r="A159" s="6" t="s">
        <v>419</v>
      </c>
      <c r="B159" s="7">
        <v>45544</v>
      </c>
      <c r="C159" s="6">
        <f>HYPERLINK("https://eping.wto.org/en/Search?viewData= G/SPS/N/JPN/1280"," G/SPS/N/JPN/1280")</f>
      </c>
      <c r="D159" s="8" t="s">
        <v>628</v>
      </c>
      <c r="E159" s="8" t="s">
        <v>752</v>
      </c>
      <c r="F159" s="8" t="s">
        <v>753</v>
      </c>
      <c r="G159" s="6" t="s">
        <v>754</v>
      </c>
      <c r="H159" s="6" t="s">
        <v>40</v>
      </c>
      <c r="I159" s="6" t="s">
        <v>38</v>
      </c>
      <c r="J159" s="6" t="s">
        <v>641</v>
      </c>
      <c r="K159" s="6" t="s">
        <v>40</v>
      </c>
      <c r="L159" s="7">
        <v>45604</v>
      </c>
      <c r="M159" s="6" t="s">
        <v>25</v>
      </c>
      <c r="N159" s="8" t="s">
        <v>755</v>
      </c>
      <c r="O159" s="6">
        <f>HYPERLINK("https://docs.wto.org/imrd/directdoc.asp?DDFDocuments/t/G/SPS/NJPN1280.DOCX", "https://docs.wto.org/imrd/directdoc.asp?DDFDocuments/t/G/SPS/NJPN1280.DOCX")</f>
      </c>
      <c r="P159" s="6">
        <f>HYPERLINK("https://docs.wto.org/imrd/directdoc.asp?DDFDocuments/u/G/SPS/NJPN1280.DOCX", "https://docs.wto.org/imrd/directdoc.asp?DDFDocuments/u/G/SPS/NJPN1280.DOCX")</f>
      </c>
      <c r="Q159" s="6">
        <f>HYPERLINK("https://docs.wto.org/imrd/directdoc.asp?DDFDocuments/v/G/SPS/NJPN1280.DOCX", "https://docs.wto.org/imrd/directdoc.asp?DDFDocuments/v/G/SPS/NJPN1280.DOCX")</f>
      </c>
    </row>
    <row r="160">
      <c r="A160" s="6" t="s">
        <v>401</v>
      </c>
      <c r="B160" s="7">
        <v>45544</v>
      </c>
      <c r="C160" s="6">
        <f>HYPERLINK("https://eping.wto.org/en/Search?viewData= G/TBT/N/KOR/1230"," G/TBT/N/KOR/1230")</f>
      </c>
      <c r="D160" s="8" t="s">
        <v>756</v>
      </c>
      <c r="E160" s="8" t="s">
        <v>757</v>
      </c>
      <c r="F160" s="8" t="s">
        <v>758</v>
      </c>
      <c r="G160" s="6" t="s">
        <v>40</v>
      </c>
      <c r="H160" s="6" t="s">
        <v>93</v>
      </c>
      <c r="I160" s="6" t="s">
        <v>147</v>
      </c>
      <c r="J160" s="6" t="s">
        <v>95</v>
      </c>
      <c r="K160" s="6"/>
      <c r="L160" s="7">
        <v>45564</v>
      </c>
      <c r="M160" s="6" t="s">
        <v>25</v>
      </c>
      <c r="N160" s="8" t="s">
        <v>759</v>
      </c>
      <c r="O160" s="6">
        <f>HYPERLINK("https://docs.wto.org/imrd/directdoc.asp?DDFDocuments/t/G/TBTN24/KOR1230.DOCX", "https://docs.wto.org/imrd/directdoc.asp?DDFDocuments/t/G/TBTN24/KOR1230.DOCX")</f>
      </c>
      <c r="P160" s="6">
        <f>HYPERLINK("https://docs.wto.org/imrd/directdoc.asp?DDFDocuments/u/G/TBTN24/KOR1230.DOCX", "https://docs.wto.org/imrd/directdoc.asp?DDFDocuments/u/G/TBTN24/KOR1230.DOCX")</f>
      </c>
      <c r="Q160" s="6">
        <f>HYPERLINK("https://docs.wto.org/imrd/directdoc.asp?DDFDocuments/v/G/TBTN24/KOR1230.DOCX", "https://docs.wto.org/imrd/directdoc.asp?DDFDocuments/v/G/TBTN24/KOR1230.DOCX")</f>
      </c>
    </row>
    <row r="161">
      <c r="A161" s="6" t="s">
        <v>419</v>
      </c>
      <c r="B161" s="7">
        <v>45544</v>
      </c>
      <c r="C161" s="6">
        <f>HYPERLINK("https://eping.wto.org/en/Search?viewData= G/SPS/N/JPN/1276"," G/SPS/N/JPN/1276")</f>
      </c>
      <c r="D161" s="8" t="s">
        <v>760</v>
      </c>
      <c r="E161" s="8" t="s">
        <v>761</v>
      </c>
      <c r="F161" s="8" t="s">
        <v>762</v>
      </c>
      <c r="G161" s="6" t="s">
        <v>763</v>
      </c>
      <c r="H161" s="6" t="s">
        <v>40</v>
      </c>
      <c r="I161" s="6" t="s">
        <v>369</v>
      </c>
      <c r="J161" s="6" t="s">
        <v>690</v>
      </c>
      <c r="K161" s="6" t="s">
        <v>372</v>
      </c>
      <c r="L161" s="7" t="s">
        <v>40</v>
      </c>
      <c r="M161" s="6" t="s">
        <v>356</v>
      </c>
      <c r="N161" s="6"/>
      <c r="O161" s="6">
        <f>HYPERLINK("https://docs.wto.org/imrd/directdoc.asp?DDFDocuments/t/G/SPS/NJPN1276.DOCX", "https://docs.wto.org/imrd/directdoc.asp?DDFDocuments/t/G/SPS/NJPN1276.DOCX")</f>
      </c>
      <c r="P161" s="6">
        <f>HYPERLINK("https://docs.wto.org/imrd/directdoc.asp?DDFDocuments/u/G/SPS/NJPN1276.DOCX", "https://docs.wto.org/imrd/directdoc.asp?DDFDocuments/u/G/SPS/NJPN1276.DOCX")</f>
      </c>
      <c r="Q161" s="6">
        <f>HYPERLINK("https://docs.wto.org/imrd/directdoc.asp?DDFDocuments/v/G/SPS/NJPN1276.DOCX", "https://docs.wto.org/imrd/directdoc.asp?DDFDocuments/v/G/SPS/NJPN1276.DOCX")</f>
      </c>
    </row>
    <row r="162">
      <c r="A162" s="6" t="s">
        <v>180</v>
      </c>
      <c r="B162" s="7">
        <v>45539</v>
      </c>
      <c r="C162" s="6">
        <f>HYPERLINK("https://eping.wto.org/en/Search?viewData= G/SPS/N/CRI/280"," G/SPS/N/CRI/280")</f>
      </c>
      <c r="D162" s="8" t="s">
        <v>764</v>
      </c>
      <c r="E162" s="8" t="s">
        <v>765</v>
      </c>
      <c r="F162" s="8" t="s">
        <v>766</v>
      </c>
      <c r="G162" s="6" t="s">
        <v>767</v>
      </c>
      <c r="H162" s="6" t="s">
        <v>40</v>
      </c>
      <c r="I162" s="6" t="s">
        <v>184</v>
      </c>
      <c r="J162" s="6" t="s">
        <v>410</v>
      </c>
      <c r="K162" s="6" t="s">
        <v>437</v>
      </c>
      <c r="L162" s="7">
        <v>45599</v>
      </c>
      <c r="M162" s="6" t="s">
        <v>25</v>
      </c>
      <c r="N162" s="8" t="s">
        <v>768</v>
      </c>
      <c r="O162" s="6">
        <f>HYPERLINK("https://docs.wto.org/imrd/directdoc.asp?DDFDocuments/t/G/SPS/NCRI280.DOCX", "https://docs.wto.org/imrd/directdoc.asp?DDFDocuments/t/G/SPS/NCRI280.DOCX")</f>
      </c>
      <c r="P162" s="6">
        <f>HYPERLINK("https://docs.wto.org/imrd/directdoc.asp?DDFDocuments/u/G/SPS/NCRI280.DOCX", "https://docs.wto.org/imrd/directdoc.asp?DDFDocuments/u/G/SPS/NCRI280.DOCX")</f>
      </c>
      <c r="Q162" s="6">
        <f>HYPERLINK("https://docs.wto.org/imrd/directdoc.asp?DDFDocuments/v/G/SPS/NCRI280.DOCX", "https://docs.wto.org/imrd/directdoc.asp?DDFDocuments/v/G/SPS/NCRI280.DOCX")</f>
      </c>
    </row>
    <row r="163">
      <c r="A163" s="6" t="s">
        <v>136</v>
      </c>
      <c r="B163" s="7">
        <v>45539</v>
      </c>
      <c r="C163" s="6">
        <f>HYPERLINK("https://eping.wto.org/en/Search?viewData= G/SPS/N/PER/1059"," G/SPS/N/PER/1059")</f>
      </c>
      <c r="D163" s="8" t="s">
        <v>769</v>
      </c>
      <c r="E163" s="8" t="s">
        <v>770</v>
      </c>
      <c r="F163" s="8" t="s">
        <v>771</v>
      </c>
      <c r="G163" s="6" t="s">
        <v>772</v>
      </c>
      <c r="H163" s="6" t="s">
        <v>40</v>
      </c>
      <c r="I163" s="6" t="s">
        <v>369</v>
      </c>
      <c r="J163" s="6" t="s">
        <v>773</v>
      </c>
      <c r="K163" s="6" t="s">
        <v>774</v>
      </c>
      <c r="L163" s="7">
        <v>45599</v>
      </c>
      <c r="M163" s="6" t="s">
        <v>25</v>
      </c>
      <c r="N163" s="8" t="s">
        <v>775</v>
      </c>
      <c r="O163" s="6">
        <f>HYPERLINK("https://docs.wto.org/imrd/directdoc.asp?DDFDocuments/t/G/SPS/NPER1059.DOCX", "https://docs.wto.org/imrd/directdoc.asp?DDFDocuments/t/G/SPS/NPER1059.DOCX")</f>
      </c>
      <c r="P163" s="6">
        <f>HYPERLINK("https://docs.wto.org/imrd/directdoc.asp?DDFDocuments/u/G/SPS/NPER1059.DOCX", "https://docs.wto.org/imrd/directdoc.asp?DDFDocuments/u/G/SPS/NPER1059.DOCX")</f>
      </c>
      <c r="Q163" s="6">
        <f>HYPERLINK("https://docs.wto.org/imrd/directdoc.asp?DDFDocuments/v/G/SPS/NPER1059.DOCX", "https://docs.wto.org/imrd/directdoc.asp?DDFDocuments/v/G/SPS/NPER1059.DOCX")</f>
      </c>
    </row>
    <row r="164">
      <c r="A164" s="6" t="s">
        <v>515</v>
      </c>
      <c r="B164" s="7">
        <v>45539</v>
      </c>
      <c r="C164" s="6">
        <f>HYPERLINK("https://eping.wto.org/en/Search?viewData= G/SPS/N/EU/793"," G/SPS/N/EU/793")</f>
      </c>
      <c r="D164" s="8" t="s">
        <v>776</v>
      </c>
      <c r="E164" s="8" t="s">
        <v>777</v>
      </c>
      <c r="F164" s="8" t="s">
        <v>778</v>
      </c>
      <c r="G164" s="6" t="s">
        <v>40</v>
      </c>
      <c r="H164" s="6" t="s">
        <v>40</v>
      </c>
      <c r="I164" s="6" t="s">
        <v>38</v>
      </c>
      <c r="J164" s="6" t="s">
        <v>39</v>
      </c>
      <c r="K164" s="6"/>
      <c r="L164" s="7">
        <v>45599</v>
      </c>
      <c r="M164" s="6" t="s">
        <v>25</v>
      </c>
      <c r="N164" s="8" t="s">
        <v>779</v>
      </c>
      <c r="O164" s="6">
        <f>HYPERLINK("https://docs.wto.org/imrd/directdoc.asp?DDFDocuments/t/G/SPS/NEU793.DOCX", "https://docs.wto.org/imrd/directdoc.asp?DDFDocuments/t/G/SPS/NEU793.DOCX")</f>
      </c>
      <c r="P164" s="6">
        <f>HYPERLINK("https://docs.wto.org/imrd/directdoc.asp?DDFDocuments/u/G/SPS/NEU793.DOCX", "https://docs.wto.org/imrd/directdoc.asp?DDFDocuments/u/G/SPS/NEU793.DOCX")</f>
      </c>
      <c r="Q164" s="6">
        <f>HYPERLINK("https://docs.wto.org/imrd/directdoc.asp?DDFDocuments/v/G/SPS/NEU793.DOCX", "https://docs.wto.org/imrd/directdoc.asp?DDFDocuments/v/G/SPS/NEU793.DOCX")</f>
      </c>
    </row>
    <row r="165">
      <c r="A165" s="6" t="s">
        <v>355</v>
      </c>
      <c r="B165" s="7">
        <v>45539</v>
      </c>
      <c r="C165" s="6">
        <f>HYPERLINK("https://eping.wto.org/en/Search?viewData= G/TBT/N/NOR/25"," G/TBT/N/NOR/25")</f>
      </c>
      <c r="D165" s="8" t="s">
        <v>780</v>
      </c>
      <c r="E165" s="8" t="s">
        <v>781</v>
      </c>
      <c r="F165" s="8" t="s">
        <v>782</v>
      </c>
      <c r="G165" s="6" t="s">
        <v>783</v>
      </c>
      <c r="H165" s="6" t="s">
        <v>784</v>
      </c>
      <c r="I165" s="6" t="s">
        <v>785</v>
      </c>
      <c r="J165" s="6" t="s">
        <v>40</v>
      </c>
      <c r="K165" s="6"/>
      <c r="L165" s="7">
        <v>45599</v>
      </c>
      <c r="M165" s="6" t="s">
        <v>25</v>
      </c>
      <c r="N165" s="8" t="s">
        <v>786</v>
      </c>
      <c r="O165" s="6">
        <f>HYPERLINK("https://docs.wto.org/imrd/directdoc.asp?DDFDocuments/t/G/TBTN24/NOR25.DOCX", "https://docs.wto.org/imrd/directdoc.asp?DDFDocuments/t/G/TBTN24/NOR25.DOCX")</f>
      </c>
      <c r="P165" s="6">
        <f>HYPERLINK("https://docs.wto.org/imrd/directdoc.asp?DDFDocuments/u/G/TBTN24/NOR25.DOCX", "https://docs.wto.org/imrd/directdoc.asp?DDFDocuments/u/G/TBTN24/NOR25.DOCX")</f>
      </c>
      <c r="Q165" s="6">
        <f>HYPERLINK("https://docs.wto.org/imrd/directdoc.asp?DDFDocuments/v/G/TBTN24/NOR25.DOCX", "https://docs.wto.org/imrd/directdoc.asp?DDFDocuments/v/G/TBTN24/NOR25.DOCX")</f>
      </c>
    </row>
    <row r="166">
      <c r="A166" s="6" t="s">
        <v>412</v>
      </c>
      <c r="B166" s="7">
        <v>45539</v>
      </c>
      <c r="C166" s="6">
        <f>HYPERLINK("https://eping.wto.org/en/Search?viewData= G/SPS/N/COL/369"," G/SPS/N/COL/369")</f>
      </c>
      <c r="D166" s="8" t="s">
        <v>787</v>
      </c>
      <c r="E166" s="8" t="s">
        <v>788</v>
      </c>
      <c r="F166" s="8" t="s">
        <v>789</v>
      </c>
      <c r="G166" s="6" t="s">
        <v>790</v>
      </c>
      <c r="H166" s="6" t="s">
        <v>40</v>
      </c>
      <c r="I166" s="6" t="s">
        <v>791</v>
      </c>
      <c r="J166" s="6" t="s">
        <v>792</v>
      </c>
      <c r="K166" s="6" t="s">
        <v>793</v>
      </c>
      <c r="L166" s="7">
        <v>45599</v>
      </c>
      <c r="M166" s="6" t="s">
        <v>25</v>
      </c>
      <c r="N166" s="8" t="s">
        <v>794</v>
      </c>
      <c r="O166" s="6">
        <f>HYPERLINK("https://docs.wto.org/imrd/directdoc.asp?DDFDocuments/t/G/SPS/NCOL369.DOCX", "https://docs.wto.org/imrd/directdoc.asp?DDFDocuments/t/G/SPS/NCOL369.DOCX")</f>
      </c>
      <c r="P166" s="6">
        <f>HYPERLINK("https://docs.wto.org/imrd/directdoc.asp?DDFDocuments/u/G/SPS/NCOL369.DOCX", "https://docs.wto.org/imrd/directdoc.asp?DDFDocuments/u/G/SPS/NCOL369.DOCX")</f>
      </c>
      <c r="Q166" s="6">
        <f>HYPERLINK("https://docs.wto.org/imrd/directdoc.asp?DDFDocuments/v/G/SPS/NCOL369.DOCX", "https://docs.wto.org/imrd/directdoc.asp?DDFDocuments/v/G/SPS/NCOL369.DOCX")</f>
      </c>
    </row>
    <row r="167">
      <c r="A167" s="6" t="s">
        <v>198</v>
      </c>
      <c r="B167" s="7">
        <v>45539</v>
      </c>
      <c r="C167" s="6">
        <f>HYPERLINK("https://eping.wto.org/en/Search?viewData= G/SPS/N/CHL/801"," G/SPS/N/CHL/801")</f>
      </c>
      <c r="D167" s="8" t="s">
        <v>795</v>
      </c>
      <c r="E167" s="8" t="s">
        <v>796</v>
      </c>
      <c r="F167" s="8" t="s">
        <v>797</v>
      </c>
      <c r="G167" s="6" t="s">
        <v>798</v>
      </c>
      <c r="H167" s="6" t="s">
        <v>40</v>
      </c>
      <c r="I167" s="6" t="s">
        <v>369</v>
      </c>
      <c r="J167" s="6" t="s">
        <v>690</v>
      </c>
      <c r="K167" s="6" t="s">
        <v>160</v>
      </c>
      <c r="L167" s="7" t="s">
        <v>40</v>
      </c>
      <c r="M167" s="6" t="s">
        <v>25</v>
      </c>
      <c r="N167" s="8" t="s">
        <v>799</v>
      </c>
      <c r="O167" s="6">
        <f>HYPERLINK("https://docs.wto.org/imrd/directdoc.asp?DDFDocuments/t/G/SPS/NCHL801.DOCX", "https://docs.wto.org/imrd/directdoc.asp?DDFDocuments/t/G/SPS/NCHL801.DOCX")</f>
      </c>
      <c r="P167" s="6">
        <f>HYPERLINK("https://docs.wto.org/imrd/directdoc.asp?DDFDocuments/u/G/SPS/NCHL801.DOCX", "https://docs.wto.org/imrd/directdoc.asp?DDFDocuments/u/G/SPS/NCHL801.DOCX")</f>
      </c>
      <c r="Q167" s="6">
        <f>HYPERLINK("https://docs.wto.org/imrd/directdoc.asp?DDFDocuments/v/G/SPS/NCHL801.DOCX", "https://docs.wto.org/imrd/directdoc.asp?DDFDocuments/v/G/SPS/NCHL801.DOCX")</f>
      </c>
    </row>
    <row r="168">
      <c r="A168" s="6" t="s">
        <v>355</v>
      </c>
      <c r="B168" s="7">
        <v>45539</v>
      </c>
      <c r="C168" s="6">
        <f>HYPERLINK("https://eping.wto.org/en/Search?viewData= G/SPS/N/NOR/40"," G/SPS/N/NOR/40")</f>
      </c>
      <c r="D168" s="8" t="s">
        <v>780</v>
      </c>
      <c r="E168" s="8" t="s">
        <v>800</v>
      </c>
      <c r="F168" s="8" t="s">
        <v>801</v>
      </c>
      <c r="G168" s="6" t="s">
        <v>783</v>
      </c>
      <c r="H168" s="6" t="s">
        <v>40</v>
      </c>
      <c r="I168" s="6" t="s">
        <v>802</v>
      </c>
      <c r="J168" s="6" t="s">
        <v>803</v>
      </c>
      <c r="K168" s="6" t="s">
        <v>40</v>
      </c>
      <c r="L168" s="7">
        <v>45599</v>
      </c>
      <c r="M168" s="6" t="s">
        <v>25</v>
      </c>
      <c r="N168" s="8" t="s">
        <v>804</v>
      </c>
      <c r="O168" s="6">
        <f>HYPERLINK("https://docs.wto.org/imrd/directdoc.asp?DDFDocuments/t/G/SPS/NNOR40.DOCX", "https://docs.wto.org/imrd/directdoc.asp?DDFDocuments/t/G/SPS/NNOR40.DOCX")</f>
      </c>
      <c r="P168" s="6">
        <f>HYPERLINK("https://docs.wto.org/imrd/directdoc.asp?DDFDocuments/u/G/SPS/NNOR40.DOCX", "https://docs.wto.org/imrd/directdoc.asp?DDFDocuments/u/G/SPS/NNOR40.DOCX")</f>
      </c>
      <c r="Q168" s="6">
        <f>HYPERLINK("https://docs.wto.org/imrd/directdoc.asp?DDFDocuments/v/G/SPS/NNOR40.DOCX", "https://docs.wto.org/imrd/directdoc.asp?DDFDocuments/v/G/SPS/NNOR40.DOCX")</f>
      </c>
    </row>
    <row r="169">
      <c r="A169" s="6" t="s">
        <v>256</v>
      </c>
      <c r="B169" s="7">
        <v>45539</v>
      </c>
      <c r="C169" s="6">
        <f>HYPERLINK("https://eping.wto.org/en/Search?viewData= G/SPS/N/HND/11/Add.3"," G/SPS/N/HND/11/Add.3")</f>
      </c>
      <c r="D169" s="8" t="s">
        <v>805</v>
      </c>
      <c r="E169" s="8" t="s">
        <v>805</v>
      </c>
      <c r="F169" s="8" t="s">
        <v>806</v>
      </c>
      <c r="G169" s="6" t="s">
        <v>807</v>
      </c>
      <c r="H169" s="6" t="s">
        <v>40</v>
      </c>
      <c r="I169" s="6" t="s">
        <v>40</v>
      </c>
      <c r="J169" s="6" t="s">
        <v>808</v>
      </c>
      <c r="K169" s="6"/>
      <c r="L169" s="7">
        <v>45599</v>
      </c>
      <c r="M169" s="6" t="s">
        <v>76</v>
      </c>
      <c r="N169" s="8" t="s">
        <v>809</v>
      </c>
      <c r="O169" s="6">
        <f>HYPERLINK("https://docs.wto.org/imrd/directdoc.asp?DDFDocuments/t/G/SPS/NHND11A3.DOCX", "https://docs.wto.org/imrd/directdoc.asp?DDFDocuments/t/G/SPS/NHND11A3.DOCX")</f>
      </c>
      <c r="P169" s="6">
        <f>HYPERLINK("https://docs.wto.org/imrd/directdoc.asp?DDFDocuments/u/G/SPS/NHND11A3.DOCX", "https://docs.wto.org/imrd/directdoc.asp?DDFDocuments/u/G/SPS/NHND11A3.DOCX")</f>
      </c>
      <c r="Q169" s="6">
        <f>HYPERLINK("https://docs.wto.org/imrd/directdoc.asp?DDFDocuments/v/G/SPS/NHND11A3.DOCX", "https://docs.wto.org/imrd/directdoc.asp?DDFDocuments/v/G/SPS/NHND11A3.DOCX")</f>
      </c>
    </row>
    <row r="170">
      <c r="A170" s="6" t="s">
        <v>99</v>
      </c>
      <c r="B170" s="7">
        <v>45538</v>
      </c>
      <c r="C170" s="6">
        <f>HYPERLINK("https://eping.wto.org/en/Search?viewData= G/SPS/N/AUS/599"," G/SPS/N/AUS/599")</f>
      </c>
      <c r="D170" s="8" t="s">
        <v>810</v>
      </c>
      <c r="E170" s="8" t="s">
        <v>811</v>
      </c>
      <c r="F170" s="8" t="s">
        <v>812</v>
      </c>
      <c r="G170" s="6" t="s">
        <v>813</v>
      </c>
      <c r="H170" s="6" t="s">
        <v>40</v>
      </c>
      <c r="I170" s="6" t="s">
        <v>184</v>
      </c>
      <c r="J170" s="6" t="s">
        <v>410</v>
      </c>
      <c r="K170" s="6" t="s">
        <v>419</v>
      </c>
      <c r="L170" s="7" t="s">
        <v>40</v>
      </c>
      <c r="M170" s="6" t="s">
        <v>25</v>
      </c>
      <c r="N170" s="8" t="s">
        <v>814</v>
      </c>
      <c r="O170" s="6">
        <f>HYPERLINK("https://docs.wto.org/imrd/directdoc.asp?DDFDocuments/t/G/SPS/NAUS599.DOCX", "https://docs.wto.org/imrd/directdoc.asp?DDFDocuments/t/G/SPS/NAUS599.DOCX")</f>
      </c>
      <c r="P170" s="6">
        <f>HYPERLINK("https://docs.wto.org/imrd/directdoc.asp?DDFDocuments/u/G/SPS/NAUS599.DOCX", "https://docs.wto.org/imrd/directdoc.asp?DDFDocuments/u/G/SPS/NAUS599.DOCX")</f>
      </c>
      <c r="Q170" s="6">
        <f>HYPERLINK("https://docs.wto.org/imrd/directdoc.asp?DDFDocuments/v/G/SPS/NAUS599.DOCX", "https://docs.wto.org/imrd/directdoc.asp?DDFDocuments/v/G/SPS/NAUS599.DOCX")</f>
      </c>
    </row>
    <row r="171">
      <c r="A171" s="6" t="s">
        <v>129</v>
      </c>
      <c r="B171" s="7">
        <v>45538</v>
      </c>
      <c r="C171" s="6">
        <f>HYPERLINK("https://eping.wto.org/en/Search?viewData= G/SPS/N/IND/311"," G/SPS/N/IND/311")</f>
      </c>
      <c r="D171" s="8" t="s">
        <v>815</v>
      </c>
      <c r="E171" s="8" t="s">
        <v>816</v>
      </c>
      <c r="F171" s="8" t="s">
        <v>817</v>
      </c>
      <c r="G171" s="6" t="s">
        <v>818</v>
      </c>
      <c r="H171" s="6" t="s">
        <v>40</v>
      </c>
      <c r="I171" s="6" t="s">
        <v>819</v>
      </c>
      <c r="J171" s="6" t="s">
        <v>820</v>
      </c>
      <c r="K171" s="6" t="s">
        <v>40</v>
      </c>
      <c r="L171" s="7">
        <v>45598</v>
      </c>
      <c r="M171" s="6" t="s">
        <v>25</v>
      </c>
      <c r="N171" s="8" t="s">
        <v>821</v>
      </c>
      <c r="O171" s="6">
        <f>HYPERLINK("https://docs.wto.org/imrd/directdoc.asp?DDFDocuments/t/G/SPS/NIND311.DOCX", "https://docs.wto.org/imrd/directdoc.asp?DDFDocuments/t/G/SPS/NIND311.DOCX")</f>
      </c>
      <c r="P171" s="6">
        <f>HYPERLINK("https://docs.wto.org/imrd/directdoc.asp?DDFDocuments/u/G/SPS/NIND311.DOCX", "https://docs.wto.org/imrd/directdoc.asp?DDFDocuments/u/G/SPS/NIND311.DOCX")</f>
      </c>
      <c r="Q171" s="6">
        <f>HYPERLINK("https://docs.wto.org/imrd/directdoc.asp?DDFDocuments/v/G/SPS/NIND311.DOCX", "https://docs.wto.org/imrd/directdoc.asp?DDFDocuments/v/G/SPS/NIND311.DOCX")</f>
      </c>
    </row>
    <row r="172">
      <c r="A172" s="6" t="s">
        <v>391</v>
      </c>
      <c r="B172" s="7">
        <v>45538</v>
      </c>
      <c r="C172" s="6">
        <f>HYPERLINK("https://eping.wto.org/en/Search?viewData= G/SPS/N/KWT/152"," G/SPS/N/KWT/152")</f>
      </c>
      <c r="D172" s="8" t="s">
        <v>822</v>
      </c>
      <c r="E172" s="8" t="s">
        <v>823</v>
      </c>
      <c r="F172" s="8" t="s">
        <v>824</v>
      </c>
      <c r="G172" s="6" t="s">
        <v>825</v>
      </c>
      <c r="H172" s="6" t="s">
        <v>826</v>
      </c>
      <c r="I172" s="6" t="s">
        <v>827</v>
      </c>
      <c r="J172" s="6" t="s">
        <v>828</v>
      </c>
      <c r="K172" s="6" t="s">
        <v>829</v>
      </c>
      <c r="L172" s="7" t="s">
        <v>40</v>
      </c>
      <c r="M172" s="6" t="s">
        <v>356</v>
      </c>
      <c r="N172" s="8" t="s">
        <v>830</v>
      </c>
      <c r="O172" s="6">
        <f>HYPERLINK("https://docs.wto.org/imrd/directdoc.asp?DDFDocuments/t/G/SPS/NKWT152.DOCX", "https://docs.wto.org/imrd/directdoc.asp?DDFDocuments/t/G/SPS/NKWT152.DOCX")</f>
      </c>
      <c r="P172" s="6">
        <f>HYPERLINK("https://docs.wto.org/imrd/directdoc.asp?DDFDocuments/u/G/SPS/NKWT152.DOCX", "https://docs.wto.org/imrd/directdoc.asp?DDFDocuments/u/G/SPS/NKWT152.DOCX")</f>
      </c>
      <c r="Q172" s="6">
        <f>HYPERLINK("https://docs.wto.org/imrd/directdoc.asp?DDFDocuments/v/G/SPS/NKWT152.DOCX", "https://docs.wto.org/imrd/directdoc.asp?DDFDocuments/v/G/SPS/NKWT152.DOCX")</f>
      </c>
    </row>
    <row r="173">
      <c r="A173" s="6" t="s">
        <v>391</v>
      </c>
      <c r="B173" s="7">
        <v>45538</v>
      </c>
      <c r="C173" s="6">
        <f>HYPERLINK("https://eping.wto.org/en/Search?viewData= G/SPS/N/KWT/153"," G/SPS/N/KWT/153")</f>
      </c>
      <c r="D173" s="8" t="s">
        <v>831</v>
      </c>
      <c r="E173" s="8" t="s">
        <v>832</v>
      </c>
      <c r="F173" s="8" t="s">
        <v>833</v>
      </c>
      <c r="G173" s="6" t="s">
        <v>834</v>
      </c>
      <c r="H173" s="6" t="s">
        <v>826</v>
      </c>
      <c r="I173" s="6" t="s">
        <v>827</v>
      </c>
      <c r="J173" s="6" t="s">
        <v>835</v>
      </c>
      <c r="K173" s="6" t="s">
        <v>836</v>
      </c>
      <c r="L173" s="7" t="s">
        <v>40</v>
      </c>
      <c r="M173" s="6" t="s">
        <v>356</v>
      </c>
      <c r="N173" s="8" t="s">
        <v>837</v>
      </c>
      <c r="O173" s="6">
        <f>HYPERLINK("https://docs.wto.org/imrd/directdoc.asp?DDFDocuments/t/G/SPS/NKWT153.DOCX", "https://docs.wto.org/imrd/directdoc.asp?DDFDocuments/t/G/SPS/NKWT153.DOCX")</f>
      </c>
      <c r="P173" s="6">
        <f>HYPERLINK("https://docs.wto.org/imrd/directdoc.asp?DDFDocuments/u/G/SPS/NKWT153.DOCX", "https://docs.wto.org/imrd/directdoc.asp?DDFDocuments/u/G/SPS/NKWT153.DOCX")</f>
      </c>
      <c r="Q173" s="6">
        <f>HYPERLINK("https://docs.wto.org/imrd/directdoc.asp?DDFDocuments/v/G/SPS/NKWT153.DOCX", "https://docs.wto.org/imrd/directdoc.asp?DDFDocuments/v/G/SPS/NKWT153.DOCX")</f>
      </c>
    </row>
    <row r="174">
      <c r="A174" s="6" t="s">
        <v>180</v>
      </c>
      <c r="B174" s="7">
        <v>45538</v>
      </c>
      <c r="C174" s="6">
        <f>HYPERLINK("https://eping.wto.org/en/Search?viewData= G/TBT/N/CRI/183/Add.1"," G/TBT/N/CRI/183/Add.1")</f>
      </c>
      <c r="D174" s="8" t="s">
        <v>838</v>
      </c>
      <c r="E174" s="8" t="s">
        <v>839</v>
      </c>
      <c r="F174" s="8" t="s">
        <v>840</v>
      </c>
      <c r="G174" s="6" t="s">
        <v>40</v>
      </c>
      <c r="H174" s="6" t="s">
        <v>841</v>
      </c>
      <c r="I174" s="6" t="s">
        <v>165</v>
      </c>
      <c r="J174" s="6" t="s">
        <v>40</v>
      </c>
      <c r="K174" s="6"/>
      <c r="L174" s="7" t="s">
        <v>40</v>
      </c>
      <c r="M174" s="6" t="s">
        <v>76</v>
      </c>
      <c r="N174" s="8" t="s">
        <v>842</v>
      </c>
      <c r="O174" s="6">
        <f>HYPERLINK("https://docs.wto.org/imrd/directdoc.asp?DDFDocuments/t/G/TBTN18/CRI183A1.DOCX", "https://docs.wto.org/imrd/directdoc.asp?DDFDocuments/t/G/TBTN18/CRI183A1.DOCX")</f>
      </c>
      <c r="P174" s="6">
        <f>HYPERLINK("https://docs.wto.org/imrd/directdoc.asp?DDFDocuments/u/G/TBTN18/CRI183A1.DOCX", "https://docs.wto.org/imrd/directdoc.asp?DDFDocuments/u/G/TBTN18/CRI183A1.DOCX")</f>
      </c>
      <c r="Q174" s="6">
        <f>HYPERLINK("https://docs.wto.org/imrd/directdoc.asp?DDFDocuments/v/G/TBTN18/CRI183A1.DOCX", "https://docs.wto.org/imrd/directdoc.asp?DDFDocuments/v/G/TBTN18/CRI183A1.DOCX")</f>
      </c>
    </row>
    <row r="175">
      <c r="A175" s="6" t="s">
        <v>401</v>
      </c>
      <c r="B175" s="7">
        <v>45538</v>
      </c>
      <c r="C175" s="6">
        <f>HYPERLINK("https://eping.wto.org/en/Search?viewData= G/TBT/N/KOR/1228"," G/TBT/N/KOR/1228")</f>
      </c>
      <c r="D175" s="8" t="s">
        <v>843</v>
      </c>
      <c r="E175" s="8" t="s">
        <v>844</v>
      </c>
      <c r="F175" s="8" t="s">
        <v>845</v>
      </c>
      <c r="G175" s="6" t="s">
        <v>40</v>
      </c>
      <c r="H175" s="6" t="s">
        <v>846</v>
      </c>
      <c r="I175" s="6" t="s">
        <v>147</v>
      </c>
      <c r="J175" s="6" t="s">
        <v>40</v>
      </c>
      <c r="K175" s="6"/>
      <c r="L175" s="7">
        <v>45598</v>
      </c>
      <c r="M175" s="6" t="s">
        <v>25</v>
      </c>
      <c r="N175" s="8" t="s">
        <v>847</v>
      </c>
      <c r="O175" s="6">
        <f>HYPERLINK("https://docs.wto.org/imrd/directdoc.asp?DDFDocuments/t/G/TBTN24/KOR1228.DOCX", "https://docs.wto.org/imrd/directdoc.asp?DDFDocuments/t/G/TBTN24/KOR1228.DOCX")</f>
      </c>
      <c r="P175" s="6">
        <f>HYPERLINK("https://docs.wto.org/imrd/directdoc.asp?DDFDocuments/u/G/TBTN24/KOR1228.DOCX", "https://docs.wto.org/imrd/directdoc.asp?DDFDocuments/u/G/TBTN24/KOR1228.DOCX")</f>
      </c>
      <c r="Q175" s="6">
        <f>HYPERLINK("https://docs.wto.org/imrd/directdoc.asp?DDFDocuments/v/G/TBTN24/KOR1228.DOCX", "https://docs.wto.org/imrd/directdoc.asp?DDFDocuments/v/G/TBTN24/KOR1228.DOCX")</f>
      </c>
    </row>
    <row r="176">
      <c r="A176" s="6" t="s">
        <v>129</v>
      </c>
      <c r="B176" s="7">
        <v>45538</v>
      </c>
      <c r="C176" s="6">
        <f>HYPERLINK("https://eping.wto.org/en/Search?viewData= G/SPS/N/IND/312"," G/SPS/N/IND/312")</f>
      </c>
      <c r="D176" s="8" t="s">
        <v>848</v>
      </c>
      <c r="E176" s="8" t="s">
        <v>849</v>
      </c>
      <c r="F176" s="8" t="s">
        <v>850</v>
      </c>
      <c r="G176" s="6" t="s">
        <v>851</v>
      </c>
      <c r="H176" s="6" t="s">
        <v>40</v>
      </c>
      <c r="I176" s="6" t="s">
        <v>852</v>
      </c>
      <c r="J176" s="6" t="s">
        <v>853</v>
      </c>
      <c r="K176" s="6" t="s">
        <v>854</v>
      </c>
      <c r="L176" s="7">
        <v>45598</v>
      </c>
      <c r="M176" s="6" t="s">
        <v>25</v>
      </c>
      <c r="N176" s="8" t="s">
        <v>855</v>
      </c>
      <c r="O176" s="6">
        <f>HYPERLINK("https://docs.wto.org/imrd/directdoc.asp?DDFDocuments/t/G/SPS/NIND312.DOCX", "https://docs.wto.org/imrd/directdoc.asp?DDFDocuments/t/G/SPS/NIND312.DOCX")</f>
      </c>
      <c r="P176" s="6">
        <f>HYPERLINK("https://docs.wto.org/imrd/directdoc.asp?DDFDocuments/u/G/SPS/NIND312.DOCX", "https://docs.wto.org/imrd/directdoc.asp?DDFDocuments/u/G/SPS/NIND312.DOCX")</f>
      </c>
      <c r="Q176" s="6">
        <f>HYPERLINK("https://docs.wto.org/imrd/directdoc.asp?DDFDocuments/v/G/SPS/NIND312.DOCX", "https://docs.wto.org/imrd/directdoc.asp?DDFDocuments/v/G/SPS/NIND312.DOCX")</f>
      </c>
    </row>
    <row r="177">
      <c r="A177" s="6" t="s">
        <v>391</v>
      </c>
      <c r="B177" s="7">
        <v>45538</v>
      </c>
      <c r="C177" s="6">
        <f>HYPERLINK("https://eping.wto.org/en/Search?viewData= G/SPS/N/KWT/151"," G/SPS/N/KWT/151")</f>
      </c>
      <c r="D177" s="8" t="s">
        <v>856</v>
      </c>
      <c r="E177" s="8" t="s">
        <v>857</v>
      </c>
      <c r="F177" s="8" t="s">
        <v>833</v>
      </c>
      <c r="G177" s="6" t="s">
        <v>834</v>
      </c>
      <c r="H177" s="6" t="s">
        <v>826</v>
      </c>
      <c r="I177" s="6" t="s">
        <v>827</v>
      </c>
      <c r="J177" s="6" t="s">
        <v>858</v>
      </c>
      <c r="K177" s="6" t="s">
        <v>859</v>
      </c>
      <c r="L177" s="7" t="s">
        <v>40</v>
      </c>
      <c r="M177" s="6" t="s">
        <v>356</v>
      </c>
      <c r="N177" s="8" t="s">
        <v>860</v>
      </c>
      <c r="O177" s="6">
        <f>HYPERLINK("https://docs.wto.org/imrd/directdoc.asp?DDFDocuments/t/G/SPS/NKWT151.DOCX", "https://docs.wto.org/imrd/directdoc.asp?DDFDocuments/t/G/SPS/NKWT151.DOCX")</f>
      </c>
      <c r="P177" s="6">
        <f>HYPERLINK("https://docs.wto.org/imrd/directdoc.asp?DDFDocuments/u/G/SPS/NKWT151.DOCX", "https://docs.wto.org/imrd/directdoc.asp?DDFDocuments/u/G/SPS/NKWT151.DOCX")</f>
      </c>
      <c r="Q177" s="6">
        <f>HYPERLINK("https://docs.wto.org/imrd/directdoc.asp?DDFDocuments/v/G/SPS/NKWT151.DOCX", "https://docs.wto.org/imrd/directdoc.asp?DDFDocuments/v/G/SPS/NKWT151.DOCX")</f>
      </c>
    </row>
    <row r="178">
      <c r="A178" s="6" t="s">
        <v>515</v>
      </c>
      <c r="B178" s="7">
        <v>45538</v>
      </c>
      <c r="C178" s="6">
        <f>HYPERLINK("https://eping.wto.org/en/Search?viewData= G/TBT/N/EU/1085"," G/TBT/N/EU/1085")</f>
      </c>
      <c r="D178" s="8" t="s">
        <v>861</v>
      </c>
      <c r="E178" s="8" t="s">
        <v>862</v>
      </c>
      <c r="F178" s="8" t="s">
        <v>863</v>
      </c>
      <c r="G178" s="6" t="s">
        <v>40</v>
      </c>
      <c r="H178" s="6" t="s">
        <v>864</v>
      </c>
      <c r="I178" s="6" t="s">
        <v>75</v>
      </c>
      <c r="J178" s="6" t="s">
        <v>24</v>
      </c>
      <c r="K178" s="6"/>
      <c r="L178" s="7">
        <v>45598</v>
      </c>
      <c r="M178" s="6" t="s">
        <v>25</v>
      </c>
      <c r="N178" s="8" t="s">
        <v>865</v>
      </c>
      <c r="O178" s="6">
        <f>HYPERLINK("https://docs.wto.org/imrd/directdoc.asp?DDFDocuments/t/G/TBTN24/EU1085.DOCX", "https://docs.wto.org/imrd/directdoc.asp?DDFDocuments/t/G/TBTN24/EU1085.DOCX")</f>
      </c>
      <c r="P178" s="6">
        <f>HYPERLINK("https://docs.wto.org/imrd/directdoc.asp?DDFDocuments/u/G/TBTN24/EU1085.DOCX", "https://docs.wto.org/imrd/directdoc.asp?DDFDocuments/u/G/TBTN24/EU1085.DOCX")</f>
      </c>
      <c r="Q178" s="6">
        <f>HYPERLINK("https://docs.wto.org/imrd/directdoc.asp?DDFDocuments/v/G/TBTN24/EU1085.DOCX", "https://docs.wto.org/imrd/directdoc.asp?DDFDocuments/v/G/TBTN24/EU1085.DOCX")</f>
      </c>
    </row>
    <row r="179">
      <c r="A179" s="6" t="s">
        <v>866</v>
      </c>
      <c r="B179" s="7">
        <v>45537</v>
      </c>
      <c r="C179" s="6">
        <f>HYPERLINK("https://eping.wto.org/en/Search?viewData= G/TBT/N/IDN/99/Add.2"," G/TBT/N/IDN/99/Add.2")</f>
      </c>
      <c r="D179" s="8" t="s">
        <v>867</v>
      </c>
      <c r="E179" s="8" t="s">
        <v>868</v>
      </c>
      <c r="F179" s="8" t="s">
        <v>869</v>
      </c>
      <c r="G179" s="6" t="s">
        <v>870</v>
      </c>
      <c r="H179" s="6" t="s">
        <v>871</v>
      </c>
      <c r="I179" s="6" t="s">
        <v>872</v>
      </c>
      <c r="J179" s="6" t="s">
        <v>40</v>
      </c>
      <c r="K179" s="6"/>
      <c r="L179" s="7" t="s">
        <v>40</v>
      </c>
      <c r="M179" s="6" t="s">
        <v>76</v>
      </c>
      <c r="N179" s="8" t="s">
        <v>873</v>
      </c>
      <c r="O179" s="6">
        <f>HYPERLINK("https://docs.wto.org/imrd/directdoc.asp?DDFDocuments/t/G/TBTN15/IDN99A2.DOCX", "https://docs.wto.org/imrd/directdoc.asp?DDFDocuments/t/G/TBTN15/IDN99A2.DOCX")</f>
      </c>
      <c r="P179" s="6">
        <f>HYPERLINK("https://docs.wto.org/imrd/directdoc.asp?DDFDocuments/u/G/TBTN15/IDN99A2.DOCX", "https://docs.wto.org/imrd/directdoc.asp?DDFDocuments/u/G/TBTN15/IDN99A2.DOCX")</f>
      </c>
      <c r="Q179" s="6">
        <f>HYPERLINK("https://docs.wto.org/imrd/directdoc.asp?DDFDocuments/v/G/TBTN15/IDN99A2.DOCX", "https://docs.wto.org/imrd/directdoc.asp?DDFDocuments/v/G/TBTN15/IDN99A2.DOCX")</f>
      </c>
    </row>
    <row r="180">
      <c r="A180" s="6" t="s">
        <v>866</v>
      </c>
      <c r="B180" s="7">
        <v>45537</v>
      </c>
      <c r="C180" s="6">
        <f>HYPERLINK("https://eping.wto.org/en/Search?viewData= G/TBT/N/IDN/15/Add.4"," G/TBT/N/IDN/15/Add.4")</f>
      </c>
      <c r="D180" s="8" t="s">
        <v>874</v>
      </c>
      <c r="E180" s="8" t="s">
        <v>875</v>
      </c>
      <c r="F180" s="8" t="s">
        <v>876</v>
      </c>
      <c r="G180" s="6" t="s">
        <v>877</v>
      </c>
      <c r="H180" s="6" t="s">
        <v>878</v>
      </c>
      <c r="I180" s="6" t="s">
        <v>40</v>
      </c>
      <c r="J180" s="6" t="s">
        <v>40</v>
      </c>
      <c r="K180" s="6"/>
      <c r="L180" s="7" t="s">
        <v>40</v>
      </c>
      <c r="M180" s="6" t="s">
        <v>76</v>
      </c>
      <c r="N180" s="8" t="s">
        <v>879</v>
      </c>
      <c r="O180" s="6">
        <f>HYPERLINK("https://docs.wto.org/imrd/directdoc.asp?DDFDocuments/t/G/TBTN06/IDN15A4.DOCX", "https://docs.wto.org/imrd/directdoc.asp?DDFDocuments/t/G/TBTN06/IDN15A4.DOCX")</f>
      </c>
      <c r="P180" s="6">
        <f>HYPERLINK("https://docs.wto.org/imrd/directdoc.asp?DDFDocuments/u/G/TBTN06/IDN15A4.DOCX", "https://docs.wto.org/imrd/directdoc.asp?DDFDocuments/u/G/TBTN06/IDN15A4.DOCX")</f>
      </c>
      <c r="Q180" s="6">
        <f>HYPERLINK("https://docs.wto.org/imrd/directdoc.asp?DDFDocuments/v/G/TBTN06/IDN15A4.DOCX", "https://docs.wto.org/imrd/directdoc.asp?DDFDocuments/v/G/TBTN06/IDN15A4.DOCX")</f>
      </c>
    </row>
    <row r="181">
      <c r="A181" s="6" t="s">
        <v>880</v>
      </c>
      <c r="B181" s="7">
        <v>45537</v>
      </c>
      <c r="C181" s="6">
        <f>HYPERLINK("https://eping.wto.org/en/Search?viewData= G/TBT/N/TZA/1161"," G/TBT/N/TZA/1161")</f>
      </c>
      <c r="D181" s="8" t="s">
        <v>881</v>
      </c>
      <c r="E181" s="8" t="s">
        <v>882</v>
      </c>
      <c r="F181" s="8" t="s">
        <v>883</v>
      </c>
      <c r="G181" s="6" t="s">
        <v>884</v>
      </c>
      <c r="H181" s="6" t="s">
        <v>885</v>
      </c>
      <c r="I181" s="6" t="s">
        <v>886</v>
      </c>
      <c r="J181" s="6" t="s">
        <v>40</v>
      </c>
      <c r="K181" s="6"/>
      <c r="L181" s="7">
        <v>45597</v>
      </c>
      <c r="M181" s="6" t="s">
        <v>25</v>
      </c>
      <c r="N181" s="8" t="s">
        <v>887</v>
      </c>
      <c r="O181" s="6">
        <f>HYPERLINK("https://docs.wto.org/imrd/directdoc.asp?DDFDocuments/t/G/TBTN24/TZA1161.DOCX", "https://docs.wto.org/imrd/directdoc.asp?DDFDocuments/t/G/TBTN24/TZA1161.DOCX")</f>
      </c>
      <c r="P181" s="6">
        <f>HYPERLINK("https://docs.wto.org/imrd/directdoc.asp?DDFDocuments/u/G/TBTN24/TZA1161.DOCX", "https://docs.wto.org/imrd/directdoc.asp?DDFDocuments/u/G/TBTN24/TZA1161.DOCX")</f>
      </c>
      <c r="Q181" s="6">
        <f>HYPERLINK("https://docs.wto.org/imrd/directdoc.asp?DDFDocuments/v/G/TBTN24/TZA1161.DOCX", "https://docs.wto.org/imrd/directdoc.asp?DDFDocuments/v/G/TBTN24/TZA1161.DOCX")</f>
      </c>
    </row>
    <row r="182">
      <c r="A182" s="6" t="s">
        <v>115</v>
      </c>
      <c r="B182" s="7">
        <v>45537</v>
      </c>
      <c r="C182" s="6">
        <f>HYPERLINK("https://eping.wto.org/en/Search?viewData= G/TBT/N/BRA/1486/Add.1"," G/TBT/N/BRA/1486/Add.1")</f>
      </c>
      <c r="D182" s="8" t="s">
        <v>888</v>
      </c>
      <c r="E182" s="8" t="s">
        <v>889</v>
      </c>
      <c r="F182" s="8" t="s">
        <v>890</v>
      </c>
      <c r="G182" s="6" t="s">
        <v>891</v>
      </c>
      <c r="H182" s="6" t="s">
        <v>892</v>
      </c>
      <c r="I182" s="6" t="s">
        <v>245</v>
      </c>
      <c r="J182" s="6" t="s">
        <v>40</v>
      </c>
      <c r="K182" s="6"/>
      <c r="L182" s="7" t="s">
        <v>40</v>
      </c>
      <c r="M182" s="6" t="s">
        <v>76</v>
      </c>
      <c r="N182" s="6"/>
      <c r="O182" s="6">
        <f>HYPERLINK("https://docs.wto.org/imrd/directdoc.asp?DDFDocuments/t/G/TBTN23/BRA1486A1.DOCX", "https://docs.wto.org/imrd/directdoc.asp?DDFDocuments/t/G/TBTN23/BRA1486A1.DOCX")</f>
      </c>
      <c r="P182" s="6">
        <f>HYPERLINK("https://docs.wto.org/imrd/directdoc.asp?DDFDocuments/u/G/TBTN23/BRA1486A1.DOCX", "https://docs.wto.org/imrd/directdoc.asp?DDFDocuments/u/G/TBTN23/BRA1486A1.DOCX")</f>
      </c>
      <c r="Q182" s="6">
        <f>HYPERLINK("https://docs.wto.org/imrd/directdoc.asp?DDFDocuments/v/G/TBTN23/BRA1486A1.DOCX", "https://docs.wto.org/imrd/directdoc.asp?DDFDocuments/v/G/TBTN23/BRA1486A1.DOCX")</f>
      </c>
    </row>
    <row r="183">
      <c r="A183" s="6" t="s">
        <v>115</v>
      </c>
      <c r="B183" s="7">
        <v>45537</v>
      </c>
      <c r="C183" s="6">
        <f>HYPERLINK("https://eping.wto.org/en/Search?viewData= G/TBT/N/BRA/1484/Add.2"," G/TBT/N/BRA/1484/Add.2")</f>
      </c>
      <c r="D183" s="8" t="s">
        <v>893</v>
      </c>
      <c r="E183" s="8" t="s">
        <v>894</v>
      </c>
      <c r="F183" s="8" t="s">
        <v>895</v>
      </c>
      <c r="G183" s="6" t="s">
        <v>896</v>
      </c>
      <c r="H183" s="6" t="s">
        <v>120</v>
      </c>
      <c r="I183" s="6" t="s">
        <v>897</v>
      </c>
      <c r="J183" s="6" t="s">
        <v>122</v>
      </c>
      <c r="K183" s="6"/>
      <c r="L183" s="7" t="s">
        <v>40</v>
      </c>
      <c r="M183" s="6" t="s">
        <v>76</v>
      </c>
      <c r="N183" s="8" t="s">
        <v>898</v>
      </c>
      <c r="O183" s="6">
        <f>HYPERLINK("https://docs.wto.org/imrd/directdoc.asp?DDFDocuments/t/G/TBTN23/BRA1484A2.DOCX", "https://docs.wto.org/imrd/directdoc.asp?DDFDocuments/t/G/TBTN23/BRA1484A2.DOCX")</f>
      </c>
      <c r="P183" s="6">
        <f>HYPERLINK("https://docs.wto.org/imrd/directdoc.asp?DDFDocuments/u/G/TBTN23/BRA1484A2.DOCX", "https://docs.wto.org/imrd/directdoc.asp?DDFDocuments/u/G/TBTN23/BRA1484A2.DOCX")</f>
      </c>
      <c r="Q183" s="6">
        <f>HYPERLINK("https://docs.wto.org/imrd/directdoc.asp?DDFDocuments/v/G/TBTN23/BRA1484A2.DOCX", "https://docs.wto.org/imrd/directdoc.asp?DDFDocuments/v/G/TBTN23/BRA1484A2.DOCX")</f>
      </c>
    </row>
    <row r="184">
      <c r="A184" s="6" t="s">
        <v>866</v>
      </c>
      <c r="B184" s="7">
        <v>45537</v>
      </c>
      <c r="C184" s="6">
        <f>HYPERLINK("https://eping.wto.org/en/Search?viewData= G/TBT/N/IDN/73/Add.2"," G/TBT/N/IDN/73/Add.2")</f>
      </c>
      <c r="D184" s="8" t="s">
        <v>899</v>
      </c>
      <c r="E184" s="8" t="s">
        <v>900</v>
      </c>
      <c r="F184" s="8" t="s">
        <v>901</v>
      </c>
      <c r="G184" s="6" t="s">
        <v>902</v>
      </c>
      <c r="H184" s="6" t="s">
        <v>903</v>
      </c>
      <c r="I184" s="6" t="s">
        <v>280</v>
      </c>
      <c r="J184" s="6" t="s">
        <v>154</v>
      </c>
      <c r="K184" s="6"/>
      <c r="L184" s="7" t="s">
        <v>40</v>
      </c>
      <c r="M184" s="6" t="s">
        <v>76</v>
      </c>
      <c r="N184" s="8" t="s">
        <v>904</v>
      </c>
      <c r="O184" s="6">
        <f>HYPERLINK("https://docs.wto.org/imrd/directdoc.asp?DDFDocuments/t/G/TBTN13/IDN73A2.DOCX", "https://docs.wto.org/imrd/directdoc.asp?DDFDocuments/t/G/TBTN13/IDN73A2.DOCX")</f>
      </c>
      <c r="P184" s="6">
        <f>HYPERLINK("https://docs.wto.org/imrd/directdoc.asp?DDFDocuments/u/G/TBTN13/IDN73A2.DOCX", "https://docs.wto.org/imrd/directdoc.asp?DDFDocuments/u/G/TBTN13/IDN73A2.DOCX")</f>
      </c>
      <c r="Q184" s="6">
        <f>HYPERLINK("https://docs.wto.org/imrd/directdoc.asp?DDFDocuments/v/G/TBTN13/IDN73A2.DOCX", "https://docs.wto.org/imrd/directdoc.asp?DDFDocuments/v/G/TBTN13/IDN73A2.DOCX")</f>
      </c>
    </row>
    <row r="185">
      <c r="A185" s="6" t="s">
        <v>866</v>
      </c>
      <c r="B185" s="7">
        <v>45537</v>
      </c>
      <c r="C185" s="6">
        <f>HYPERLINK("https://eping.wto.org/en/Search?viewData= G/TBT/N/IDN/19/Add.10"," G/TBT/N/IDN/19/Add.10")</f>
      </c>
      <c r="D185" s="8" t="s">
        <v>905</v>
      </c>
      <c r="E185" s="8" t="s">
        <v>906</v>
      </c>
      <c r="F185" s="8" t="s">
        <v>907</v>
      </c>
      <c r="G185" s="6" t="s">
        <v>908</v>
      </c>
      <c r="H185" s="6" t="s">
        <v>909</v>
      </c>
      <c r="I185" s="6" t="s">
        <v>40</v>
      </c>
      <c r="J185" s="6" t="s">
        <v>40</v>
      </c>
      <c r="K185" s="6"/>
      <c r="L185" s="7" t="s">
        <v>40</v>
      </c>
      <c r="M185" s="6" t="s">
        <v>76</v>
      </c>
      <c r="N185" s="8" t="s">
        <v>910</v>
      </c>
      <c r="O185" s="6">
        <f>HYPERLINK("https://docs.wto.org/imrd/directdoc.asp?DDFDocuments/t/G/TBTN08/IDN19A10.DOCX", "https://docs.wto.org/imrd/directdoc.asp?DDFDocuments/t/G/TBTN08/IDN19A10.DOCX")</f>
      </c>
      <c r="P185" s="6">
        <f>HYPERLINK("https://docs.wto.org/imrd/directdoc.asp?DDFDocuments/u/G/TBTN08/IDN19A10.DOCX", "https://docs.wto.org/imrd/directdoc.asp?DDFDocuments/u/G/TBTN08/IDN19A10.DOCX")</f>
      </c>
      <c r="Q185" s="6">
        <f>HYPERLINK("https://docs.wto.org/imrd/directdoc.asp?DDFDocuments/v/G/TBTN08/IDN19A10.DOCX", "https://docs.wto.org/imrd/directdoc.asp?DDFDocuments/v/G/TBTN08/IDN19A10.DOCX")</f>
      </c>
    </row>
    <row r="186">
      <c r="A186" s="6" t="s">
        <v>307</v>
      </c>
      <c r="B186" s="7">
        <v>45537</v>
      </c>
      <c r="C186" s="6">
        <f>HYPERLINK("https://eping.wto.org/en/Search?viewData= G/SPS/N/CAN/1566"," G/SPS/N/CAN/1566")</f>
      </c>
      <c r="D186" s="8" t="s">
        <v>911</v>
      </c>
      <c r="E186" s="8" t="s">
        <v>912</v>
      </c>
      <c r="F186" s="8" t="s">
        <v>913</v>
      </c>
      <c r="G186" s="6" t="s">
        <v>914</v>
      </c>
      <c r="H186" s="6" t="s">
        <v>40</v>
      </c>
      <c r="I186" s="6" t="s">
        <v>353</v>
      </c>
      <c r="J186" s="6" t="s">
        <v>915</v>
      </c>
      <c r="K186" s="6" t="s">
        <v>40</v>
      </c>
      <c r="L186" s="7">
        <v>45596</v>
      </c>
      <c r="M186" s="6" t="s">
        <v>25</v>
      </c>
      <c r="N186" s="8" t="s">
        <v>916</v>
      </c>
      <c r="O186" s="6">
        <f>HYPERLINK("https://docs.wto.org/imrd/directdoc.asp?DDFDocuments/t/G/SPS/NCAN1566.DOCX", "https://docs.wto.org/imrd/directdoc.asp?DDFDocuments/t/G/SPS/NCAN1566.DOCX")</f>
      </c>
      <c r="P186" s="6">
        <f>HYPERLINK("https://docs.wto.org/imrd/directdoc.asp?DDFDocuments/u/G/SPS/NCAN1566.DOCX", "https://docs.wto.org/imrd/directdoc.asp?DDFDocuments/u/G/SPS/NCAN1566.DOCX")</f>
      </c>
      <c r="Q186" s="6">
        <f>HYPERLINK("https://docs.wto.org/imrd/directdoc.asp?DDFDocuments/v/G/SPS/NCAN1566.DOCX", "https://docs.wto.org/imrd/directdoc.asp?DDFDocuments/v/G/SPS/NCAN1566.DOCX")</f>
      </c>
    </row>
    <row r="187">
      <c r="A187" s="6" t="s">
        <v>880</v>
      </c>
      <c r="B187" s="7">
        <v>45537</v>
      </c>
      <c r="C187" s="6">
        <f>HYPERLINK("https://eping.wto.org/en/Search?viewData= G/TBT/N/TZA/1162"," G/TBT/N/TZA/1162")</f>
      </c>
      <c r="D187" s="8" t="s">
        <v>917</v>
      </c>
      <c r="E187" s="8" t="s">
        <v>918</v>
      </c>
      <c r="F187" s="8" t="s">
        <v>919</v>
      </c>
      <c r="G187" s="6" t="s">
        <v>920</v>
      </c>
      <c r="H187" s="6" t="s">
        <v>885</v>
      </c>
      <c r="I187" s="6" t="s">
        <v>886</v>
      </c>
      <c r="J187" s="6" t="s">
        <v>40</v>
      </c>
      <c r="K187" s="6"/>
      <c r="L187" s="7">
        <v>45597</v>
      </c>
      <c r="M187" s="6" t="s">
        <v>25</v>
      </c>
      <c r="N187" s="8" t="s">
        <v>921</v>
      </c>
      <c r="O187" s="6">
        <f>HYPERLINK("https://docs.wto.org/imrd/directdoc.asp?DDFDocuments/t/G/TBTN24/TZA1162.DOCX", "https://docs.wto.org/imrd/directdoc.asp?DDFDocuments/t/G/TBTN24/TZA1162.DOCX")</f>
      </c>
      <c r="P187" s="6">
        <f>HYPERLINK("https://docs.wto.org/imrd/directdoc.asp?DDFDocuments/u/G/TBTN24/TZA1162.DOCX", "https://docs.wto.org/imrd/directdoc.asp?DDFDocuments/u/G/TBTN24/TZA1162.DOCX")</f>
      </c>
      <c r="Q187" s="6">
        <f>HYPERLINK("https://docs.wto.org/imrd/directdoc.asp?DDFDocuments/v/G/TBTN24/TZA1162.DOCX", "https://docs.wto.org/imrd/directdoc.asp?DDFDocuments/v/G/TBTN24/TZA1162.DOCX")</f>
      </c>
    </row>
    <row r="188">
      <c r="A188" s="6" t="s">
        <v>160</v>
      </c>
      <c r="B188" s="7">
        <v>45537</v>
      </c>
      <c r="C188" s="6">
        <f>HYPERLINK("https://eping.wto.org/en/Search?viewData= G/TBT/N/USA/1862/Add.1"," G/TBT/N/USA/1862/Add.1")</f>
      </c>
      <c r="D188" s="8" t="s">
        <v>922</v>
      </c>
      <c r="E188" s="8" t="s">
        <v>923</v>
      </c>
      <c r="F188" s="8" t="s">
        <v>924</v>
      </c>
      <c r="G188" s="6" t="s">
        <v>40</v>
      </c>
      <c r="H188" s="6" t="s">
        <v>925</v>
      </c>
      <c r="I188" s="6" t="s">
        <v>926</v>
      </c>
      <c r="J188" s="6" t="s">
        <v>40</v>
      </c>
      <c r="K188" s="6"/>
      <c r="L188" s="7" t="s">
        <v>40</v>
      </c>
      <c r="M188" s="6" t="s">
        <v>76</v>
      </c>
      <c r="N188" s="8" t="s">
        <v>927</v>
      </c>
      <c r="O188" s="6">
        <f>HYPERLINK("https://docs.wto.org/imrd/directdoc.asp?DDFDocuments/t/G/TBTN22/USA1862A1.DOCX", "https://docs.wto.org/imrd/directdoc.asp?DDFDocuments/t/G/TBTN22/USA1862A1.DOCX")</f>
      </c>
      <c r="P188" s="6">
        <f>HYPERLINK("https://docs.wto.org/imrd/directdoc.asp?DDFDocuments/u/G/TBTN22/USA1862A1.DOCX", "https://docs.wto.org/imrd/directdoc.asp?DDFDocuments/u/G/TBTN22/USA1862A1.DOCX")</f>
      </c>
      <c r="Q188" s="6">
        <f>HYPERLINK("https://docs.wto.org/imrd/directdoc.asp?DDFDocuments/v/G/TBTN22/USA1862A1.DOCX", "https://docs.wto.org/imrd/directdoc.asp?DDFDocuments/v/G/TBTN22/USA1862A1.DOCX")</f>
      </c>
    </row>
    <row r="189">
      <c r="A189" s="6" t="s">
        <v>866</v>
      </c>
      <c r="B189" s="7">
        <v>45537</v>
      </c>
      <c r="C189" s="6">
        <f>HYPERLINK("https://eping.wto.org/en/Search?viewData= G/TBT/N/IDN/20/Add.2"," G/TBT/N/IDN/20/Add.2")</f>
      </c>
      <c r="D189" s="8" t="s">
        <v>928</v>
      </c>
      <c r="E189" s="8" t="s">
        <v>929</v>
      </c>
      <c r="F189" s="8" t="s">
        <v>930</v>
      </c>
      <c r="G189" s="6" t="s">
        <v>931</v>
      </c>
      <c r="H189" s="6" t="s">
        <v>932</v>
      </c>
      <c r="I189" s="6" t="s">
        <v>40</v>
      </c>
      <c r="J189" s="6" t="s">
        <v>40</v>
      </c>
      <c r="K189" s="6"/>
      <c r="L189" s="7" t="s">
        <v>40</v>
      </c>
      <c r="M189" s="6" t="s">
        <v>76</v>
      </c>
      <c r="N189" s="8" t="s">
        <v>933</v>
      </c>
      <c r="O189" s="6">
        <f>HYPERLINK("https://docs.wto.org/imrd/directdoc.asp?DDFDocuments/t/G/TBTN08/IDN20A2.DOCX", "https://docs.wto.org/imrd/directdoc.asp?DDFDocuments/t/G/TBTN08/IDN20A2.DOCX")</f>
      </c>
      <c r="P189" s="6">
        <f>HYPERLINK("https://docs.wto.org/imrd/directdoc.asp?DDFDocuments/u/G/TBTN08/IDN20A2.DOCX", "https://docs.wto.org/imrd/directdoc.asp?DDFDocuments/u/G/TBTN08/IDN20A2.DOCX")</f>
      </c>
      <c r="Q189" s="6">
        <f>HYPERLINK("https://docs.wto.org/imrd/directdoc.asp?DDFDocuments/v/G/TBTN08/IDN20A2.DOCX", "https://docs.wto.org/imrd/directdoc.asp?DDFDocuments/v/G/TBTN08/IDN20A2.DOCX")</f>
      </c>
    </row>
    <row r="190">
      <c r="A190" s="6" t="s">
        <v>866</v>
      </c>
      <c r="B190" s="7">
        <v>45537</v>
      </c>
      <c r="C190" s="6">
        <f>HYPERLINK("https://eping.wto.org/en/Search?viewData= G/TBT/N/IDN/79/Add.3"," G/TBT/N/IDN/79/Add.3")</f>
      </c>
      <c r="D190" s="8" t="s">
        <v>934</v>
      </c>
      <c r="E190" s="8" t="s">
        <v>935</v>
      </c>
      <c r="F190" s="8" t="s">
        <v>936</v>
      </c>
      <c r="G190" s="6" t="s">
        <v>937</v>
      </c>
      <c r="H190" s="6" t="s">
        <v>938</v>
      </c>
      <c r="I190" s="6" t="s">
        <v>662</v>
      </c>
      <c r="J190" s="6" t="s">
        <v>40</v>
      </c>
      <c r="K190" s="6"/>
      <c r="L190" s="7" t="s">
        <v>40</v>
      </c>
      <c r="M190" s="6" t="s">
        <v>76</v>
      </c>
      <c r="N190" s="8" t="s">
        <v>939</v>
      </c>
      <c r="O190" s="6">
        <f>HYPERLINK("https://docs.wto.org/imrd/directdoc.asp?DDFDocuments/t/G/TBTN13/IDN79A3.DOCX", "https://docs.wto.org/imrd/directdoc.asp?DDFDocuments/t/G/TBTN13/IDN79A3.DOCX")</f>
      </c>
      <c r="P190" s="6">
        <f>HYPERLINK("https://docs.wto.org/imrd/directdoc.asp?DDFDocuments/u/G/TBTN13/IDN79A3.DOCX", "https://docs.wto.org/imrd/directdoc.asp?DDFDocuments/u/G/TBTN13/IDN79A3.DOCX")</f>
      </c>
      <c r="Q190" s="6">
        <f>HYPERLINK("https://docs.wto.org/imrd/directdoc.asp?DDFDocuments/v/G/TBTN13/IDN79A3.DOCX", "https://docs.wto.org/imrd/directdoc.asp?DDFDocuments/v/G/TBTN13/IDN79A3.DOCX")</f>
      </c>
    </row>
    <row r="191">
      <c r="A191" s="6" t="s">
        <v>115</v>
      </c>
      <c r="B191" s="7">
        <v>45537</v>
      </c>
      <c r="C191" s="6">
        <f>HYPERLINK("https://eping.wto.org/en/Search?viewData= G/SPS/N/BRA/2327"," G/SPS/N/BRA/2327")</f>
      </c>
      <c r="D191" s="8" t="s">
        <v>940</v>
      </c>
      <c r="E191" s="8" t="s">
        <v>941</v>
      </c>
      <c r="F191" s="8" t="s">
        <v>233</v>
      </c>
      <c r="G191" s="6" t="s">
        <v>40</v>
      </c>
      <c r="H191" s="6" t="s">
        <v>234</v>
      </c>
      <c r="I191" s="6" t="s">
        <v>38</v>
      </c>
      <c r="J191" s="6" t="s">
        <v>60</v>
      </c>
      <c r="K191" s="6"/>
      <c r="L191" s="7">
        <v>45593</v>
      </c>
      <c r="M191" s="6" t="s">
        <v>25</v>
      </c>
      <c r="N191" s="8" t="s">
        <v>942</v>
      </c>
      <c r="O191" s="6">
        <f>HYPERLINK("https://docs.wto.org/imrd/directdoc.asp?DDFDocuments/t/G/SPS/NBRA2327.DOCX", "https://docs.wto.org/imrd/directdoc.asp?DDFDocuments/t/G/SPS/NBRA2327.DOCX")</f>
      </c>
      <c r="P191" s="6">
        <f>HYPERLINK("https://docs.wto.org/imrd/directdoc.asp?DDFDocuments/u/G/SPS/NBRA2327.DOCX", "https://docs.wto.org/imrd/directdoc.asp?DDFDocuments/u/G/SPS/NBRA2327.DOCX")</f>
      </c>
      <c r="Q191" s="6">
        <f>HYPERLINK("https://docs.wto.org/imrd/directdoc.asp?DDFDocuments/v/G/SPS/NBRA2327.DOCX", "https://docs.wto.org/imrd/directdoc.asp?DDFDocuments/v/G/SPS/NBRA2327.DOCX")</f>
      </c>
    </row>
    <row r="192">
      <c r="A192" s="6" t="s">
        <v>115</v>
      </c>
      <c r="B192" s="7">
        <v>45537</v>
      </c>
      <c r="C192" s="6">
        <f>HYPERLINK("https://eping.wto.org/en/Search?viewData= G/TBT/N/BRA/1565"," G/TBT/N/BRA/1565")</f>
      </c>
      <c r="D192" s="8" t="s">
        <v>943</v>
      </c>
      <c r="E192" s="8" t="s">
        <v>944</v>
      </c>
      <c r="F192" s="8" t="s">
        <v>945</v>
      </c>
      <c r="G192" s="6" t="s">
        <v>946</v>
      </c>
      <c r="H192" s="6" t="s">
        <v>947</v>
      </c>
      <c r="I192" s="6" t="s">
        <v>147</v>
      </c>
      <c r="J192" s="6" t="s">
        <v>95</v>
      </c>
      <c r="K192" s="6"/>
      <c r="L192" s="7">
        <v>45600</v>
      </c>
      <c r="M192" s="6" t="s">
        <v>25</v>
      </c>
      <c r="N192" s="8" t="s">
        <v>948</v>
      </c>
      <c r="O192" s="6">
        <f>HYPERLINK("https://docs.wto.org/imrd/directdoc.asp?DDFDocuments/t/G/TBTN24/BRA1565.DOCX", "https://docs.wto.org/imrd/directdoc.asp?DDFDocuments/t/G/TBTN24/BRA1565.DOCX")</f>
      </c>
      <c r="P192" s="6">
        <f>HYPERLINK("https://docs.wto.org/imrd/directdoc.asp?DDFDocuments/u/G/TBTN24/BRA1565.DOCX", "https://docs.wto.org/imrd/directdoc.asp?DDFDocuments/u/G/TBTN24/BRA1565.DOCX")</f>
      </c>
      <c r="Q192" s="6">
        <f>HYPERLINK("https://docs.wto.org/imrd/directdoc.asp?DDFDocuments/v/G/TBTN24/BRA1565.DOCX", "https://docs.wto.org/imrd/directdoc.asp?DDFDocuments/v/G/TBTN24/BRA1565.DOCX")</f>
      </c>
    </row>
    <row r="193">
      <c r="A193" s="6" t="s">
        <v>115</v>
      </c>
      <c r="B193" s="7">
        <v>45537</v>
      </c>
      <c r="C193" s="6">
        <f>HYPERLINK("https://eping.wto.org/en/Search?viewData= G/TBT/N/BRA/1564"," G/TBT/N/BRA/1564")</f>
      </c>
      <c r="D193" s="8" t="s">
        <v>949</v>
      </c>
      <c r="E193" s="8" t="s">
        <v>950</v>
      </c>
      <c r="F193" s="8" t="s">
        <v>951</v>
      </c>
      <c r="G193" s="6" t="s">
        <v>40</v>
      </c>
      <c r="H193" s="6" t="s">
        <v>952</v>
      </c>
      <c r="I193" s="6" t="s">
        <v>147</v>
      </c>
      <c r="J193" s="6" t="s">
        <v>24</v>
      </c>
      <c r="K193" s="6"/>
      <c r="L193" s="7">
        <v>45586</v>
      </c>
      <c r="M193" s="6" t="s">
        <v>25</v>
      </c>
      <c r="N193" s="8" t="s">
        <v>953</v>
      </c>
      <c r="O193" s="6">
        <f>HYPERLINK("https://docs.wto.org/imrd/directdoc.asp?DDFDocuments/t/G/TBTN24/BRA1564.DOCX", "https://docs.wto.org/imrd/directdoc.asp?DDFDocuments/t/G/TBTN24/BRA1564.DOCX")</f>
      </c>
      <c r="P193" s="6">
        <f>HYPERLINK("https://docs.wto.org/imrd/directdoc.asp?DDFDocuments/u/G/TBTN24/BRA1564.DOCX", "https://docs.wto.org/imrd/directdoc.asp?DDFDocuments/u/G/TBTN24/BRA1564.DOCX")</f>
      </c>
      <c r="Q193" s="6">
        <f>HYPERLINK("https://docs.wto.org/imrd/directdoc.asp?DDFDocuments/v/G/TBTN24/BRA1564.DOCX", "https://docs.wto.org/imrd/directdoc.asp?DDFDocuments/v/G/TBTN24/BRA1564.DOCX")</f>
      </c>
    </row>
    <row r="194">
      <c r="A194" s="6" t="s">
        <v>401</v>
      </c>
      <c r="B194" s="7">
        <v>45537</v>
      </c>
      <c r="C194" s="6">
        <f>HYPERLINK("https://eping.wto.org/en/Search?viewData= G/TBT/N/KOR/1227"," G/TBT/N/KOR/1227")</f>
      </c>
      <c r="D194" s="8" t="s">
        <v>954</v>
      </c>
      <c r="E194" s="8" t="s">
        <v>955</v>
      </c>
      <c r="F194" s="8" t="s">
        <v>956</v>
      </c>
      <c r="G194" s="6" t="s">
        <v>40</v>
      </c>
      <c r="H194" s="6" t="s">
        <v>93</v>
      </c>
      <c r="I194" s="6" t="s">
        <v>142</v>
      </c>
      <c r="J194" s="6" t="s">
        <v>95</v>
      </c>
      <c r="K194" s="6"/>
      <c r="L194" s="7">
        <v>45597</v>
      </c>
      <c r="M194" s="6" t="s">
        <v>25</v>
      </c>
      <c r="N194" s="8" t="s">
        <v>957</v>
      </c>
      <c r="O194" s="6">
        <f>HYPERLINK("https://docs.wto.org/imrd/directdoc.asp?DDFDocuments/t/G/TBTN24/KOR1227.DOCX", "https://docs.wto.org/imrd/directdoc.asp?DDFDocuments/t/G/TBTN24/KOR1227.DOCX")</f>
      </c>
      <c r="P194" s="6">
        <f>HYPERLINK("https://docs.wto.org/imrd/directdoc.asp?DDFDocuments/u/G/TBTN24/KOR1227.DOCX", "https://docs.wto.org/imrd/directdoc.asp?DDFDocuments/u/G/TBTN24/KOR1227.DOCX")</f>
      </c>
      <c r="Q194" s="6">
        <f>HYPERLINK("https://docs.wto.org/imrd/directdoc.asp?DDFDocuments/v/G/TBTN24/KOR1227.DOCX", "https://docs.wto.org/imrd/directdoc.asp?DDFDocuments/v/G/TBTN24/KOR1227.DOCX")</f>
      </c>
    </row>
    <row r="195">
      <c r="A195" s="6" t="s">
        <v>198</v>
      </c>
      <c r="B195" s="7">
        <v>45537</v>
      </c>
      <c r="C195" s="6">
        <f>HYPERLINK("https://eping.wto.org/en/Search?viewData= G/TBT/N/CHL/702"," G/TBT/N/CHL/702")</f>
      </c>
      <c r="D195" s="8" t="s">
        <v>958</v>
      </c>
      <c r="E195" s="8" t="s">
        <v>959</v>
      </c>
      <c r="F195" s="8" t="s">
        <v>960</v>
      </c>
      <c r="G195" s="6" t="s">
        <v>40</v>
      </c>
      <c r="H195" s="6" t="s">
        <v>961</v>
      </c>
      <c r="I195" s="6" t="s">
        <v>280</v>
      </c>
      <c r="J195" s="6" t="s">
        <v>40</v>
      </c>
      <c r="K195" s="6"/>
      <c r="L195" s="7">
        <v>45577</v>
      </c>
      <c r="M195" s="6" t="s">
        <v>25</v>
      </c>
      <c r="N195" s="8" t="s">
        <v>962</v>
      </c>
      <c r="O195" s="6">
        <f>HYPERLINK("https://docs.wto.org/imrd/directdoc.asp?DDFDocuments/t/G/TBTN24/CHL702.DOCX", "https://docs.wto.org/imrd/directdoc.asp?DDFDocuments/t/G/TBTN24/CHL702.DOCX")</f>
      </c>
      <c r="P195" s="6">
        <f>HYPERLINK("https://docs.wto.org/imrd/directdoc.asp?DDFDocuments/u/G/TBTN24/CHL702.DOCX", "https://docs.wto.org/imrd/directdoc.asp?DDFDocuments/u/G/TBTN24/CHL702.DOCX")</f>
      </c>
      <c r="Q195" s="6">
        <f>HYPERLINK("https://docs.wto.org/imrd/directdoc.asp?DDFDocuments/v/G/TBTN24/CHL702.DOCX", "https://docs.wto.org/imrd/directdoc.asp?DDFDocuments/v/G/TBTN24/CHL702.DOCX")</f>
      </c>
    </row>
    <row r="196">
      <c r="A196" s="6" t="s">
        <v>880</v>
      </c>
      <c r="B196" s="7">
        <v>45537</v>
      </c>
      <c r="C196" s="6">
        <f>HYPERLINK("https://eping.wto.org/en/Search?viewData= G/TBT/N/TZA/1160"," G/TBT/N/TZA/1160")</f>
      </c>
      <c r="D196" s="8" t="s">
        <v>963</v>
      </c>
      <c r="E196" s="8" t="s">
        <v>964</v>
      </c>
      <c r="F196" s="8" t="s">
        <v>965</v>
      </c>
      <c r="G196" s="6" t="s">
        <v>966</v>
      </c>
      <c r="H196" s="6" t="s">
        <v>967</v>
      </c>
      <c r="I196" s="6" t="s">
        <v>886</v>
      </c>
      <c r="J196" s="6" t="s">
        <v>40</v>
      </c>
      <c r="K196" s="6"/>
      <c r="L196" s="7">
        <v>45597</v>
      </c>
      <c r="M196" s="6" t="s">
        <v>25</v>
      </c>
      <c r="N196" s="8" t="s">
        <v>968</v>
      </c>
      <c r="O196" s="6">
        <f>HYPERLINK("https://docs.wto.org/imrd/directdoc.asp?DDFDocuments/t/G/TBTN24/TZA1160.DOCX", "https://docs.wto.org/imrd/directdoc.asp?DDFDocuments/t/G/TBTN24/TZA1160.DOCX")</f>
      </c>
      <c r="P196" s="6">
        <f>HYPERLINK("https://docs.wto.org/imrd/directdoc.asp?DDFDocuments/u/G/TBTN24/TZA1160.DOCX", "https://docs.wto.org/imrd/directdoc.asp?DDFDocuments/u/G/TBTN24/TZA1160.DOCX")</f>
      </c>
      <c r="Q196" s="6">
        <f>HYPERLINK("https://docs.wto.org/imrd/directdoc.asp?DDFDocuments/v/G/TBTN24/TZA1160.DOCX", "https://docs.wto.org/imrd/directdoc.asp?DDFDocuments/v/G/TBTN24/TZA1160.DOCX")</f>
      </c>
    </row>
    <row r="197">
      <c r="A197" s="6" t="s">
        <v>515</v>
      </c>
      <c r="B197" s="7">
        <v>45537</v>
      </c>
      <c r="C197" s="6">
        <f>HYPERLINK("https://eping.wto.org/en/Search?viewData= G/TBT/N/EU/1084"," G/TBT/N/EU/1084")</f>
      </c>
      <c r="D197" s="8" t="s">
        <v>969</v>
      </c>
      <c r="E197" s="8" t="s">
        <v>970</v>
      </c>
      <c r="F197" s="8" t="s">
        <v>971</v>
      </c>
      <c r="G197" s="6" t="s">
        <v>40</v>
      </c>
      <c r="H197" s="6" t="s">
        <v>972</v>
      </c>
      <c r="I197" s="6" t="s">
        <v>379</v>
      </c>
      <c r="J197" s="6" t="s">
        <v>95</v>
      </c>
      <c r="K197" s="6"/>
      <c r="L197" s="7">
        <v>45597</v>
      </c>
      <c r="M197" s="6" t="s">
        <v>25</v>
      </c>
      <c r="N197" s="8" t="s">
        <v>973</v>
      </c>
      <c r="O197" s="6">
        <f>HYPERLINK("https://docs.wto.org/imrd/directdoc.asp?DDFDocuments/t/G/TBTN24/EU1084.DOCX", "https://docs.wto.org/imrd/directdoc.asp?DDFDocuments/t/G/TBTN24/EU1084.DOCX")</f>
      </c>
      <c r="P197" s="6">
        <f>HYPERLINK("https://docs.wto.org/imrd/directdoc.asp?DDFDocuments/u/G/TBTN24/EU1084.DOCX", "https://docs.wto.org/imrd/directdoc.asp?DDFDocuments/u/G/TBTN24/EU1084.DOCX")</f>
      </c>
      <c r="Q197" s="6">
        <f>HYPERLINK("https://docs.wto.org/imrd/directdoc.asp?DDFDocuments/v/G/TBTN24/EU1084.DOCX", "https://docs.wto.org/imrd/directdoc.asp?DDFDocuments/v/G/TBTN24/EU1084.DOCX")</f>
      </c>
    </row>
    <row r="198">
      <c r="A198" s="6" t="s">
        <v>974</v>
      </c>
      <c r="B198" s="7">
        <v>45537</v>
      </c>
      <c r="C198" s="6">
        <f>HYPERLINK("https://eping.wto.org/en/Search?viewData= G/TBT/N/KHM/23/Add.2"," G/TBT/N/KHM/23/Add.2")</f>
      </c>
      <c r="D198" s="8" t="s">
        <v>975</v>
      </c>
      <c r="E198" s="8" t="s">
        <v>976</v>
      </c>
      <c r="F198" s="8" t="s">
        <v>977</v>
      </c>
      <c r="G198" s="6" t="s">
        <v>978</v>
      </c>
      <c r="H198" s="6" t="s">
        <v>545</v>
      </c>
      <c r="I198" s="6" t="s">
        <v>147</v>
      </c>
      <c r="J198" s="6" t="s">
        <v>40</v>
      </c>
      <c r="K198" s="6"/>
      <c r="L198" s="7">
        <v>45551</v>
      </c>
      <c r="M198" s="6" t="s">
        <v>76</v>
      </c>
      <c r="N198" s="6"/>
      <c r="O198" s="6">
        <f>HYPERLINK("https://docs.wto.org/imrd/directdoc.asp?DDFDocuments/t/G/TBTN24/KHM23A2.DOCX", "https://docs.wto.org/imrd/directdoc.asp?DDFDocuments/t/G/TBTN24/KHM23A2.DOCX")</f>
      </c>
      <c r="P198" s="6">
        <f>HYPERLINK("https://docs.wto.org/imrd/directdoc.asp?DDFDocuments/u/G/TBTN24/KHM23A2.DOCX", "https://docs.wto.org/imrd/directdoc.asp?DDFDocuments/u/G/TBTN24/KHM23A2.DOCX")</f>
      </c>
      <c r="Q198" s="6">
        <f>HYPERLINK("https://docs.wto.org/imrd/directdoc.asp?DDFDocuments/v/G/TBTN24/KHM23A2.DOCX", "https://docs.wto.org/imrd/directdoc.asp?DDFDocuments/v/G/TBTN24/KHM23A2.DOCX")</f>
      </c>
    </row>
    <row r="199">
      <c r="A199" s="6" t="s">
        <v>866</v>
      </c>
      <c r="B199" s="7">
        <v>45537</v>
      </c>
      <c r="C199" s="6">
        <f>HYPERLINK("https://eping.wto.org/en/Search?viewData= G/TBT/N/IDN/167"," G/TBT/N/IDN/167")</f>
      </c>
      <c r="D199" s="8" t="s">
        <v>979</v>
      </c>
      <c r="E199" s="8" t="s">
        <v>980</v>
      </c>
      <c r="F199" s="8" t="s">
        <v>981</v>
      </c>
      <c r="G199" s="6" t="s">
        <v>982</v>
      </c>
      <c r="H199" s="6" t="s">
        <v>983</v>
      </c>
      <c r="I199" s="6" t="s">
        <v>259</v>
      </c>
      <c r="J199" s="6" t="s">
        <v>40</v>
      </c>
      <c r="K199" s="6"/>
      <c r="L199" s="7">
        <v>45597</v>
      </c>
      <c r="M199" s="6" t="s">
        <v>25</v>
      </c>
      <c r="N199" s="8" t="s">
        <v>984</v>
      </c>
      <c r="O199" s="6">
        <f>HYPERLINK("https://docs.wto.org/imrd/directdoc.asp?DDFDocuments/t/G/TBTN24/IDN167.DOCX", "https://docs.wto.org/imrd/directdoc.asp?DDFDocuments/t/G/TBTN24/IDN167.DOCX")</f>
      </c>
      <c r="P199" s="6">
        <f>HYPERLINK("https://docs.wto.org/imrd/directdoc.asp?DDFDocuments/u/G/TBTN24/IDN167.DOCX", "https://docs.wto.org/imrd/directdoc.asp?DDFDocuments/u/G/TBTN24/IDN167.DOCX")</f>
      </c>
      <c r="Q199" s="6">
        <f>HYPERLINK("https://docs.wto.org/imrd/directdoc.asp?DDFDocuments/v/G/TBTN24/IDN167.DOCX", "https://docs.wto.org/imrd/directdoc.asp?DDFDocuments/v/G/TBTN24/IDN167.DOCX")</f>
      </c>
    </row>
    <row r="200">
      <c r="A200" s="6" t="s">
        <v>198</v>
      </c>
      <c r="B200" s="7">
        <v>45537</v>
      </c>
      <c r="C200" s="6">
        <f>HYPERLINK("https://eping.wto.org/en/Search?viewData= G/TBT/N/CHL/701"," G/TBT/N/CHL/701")</f>
      </c>
      <c r="D200" s="8" t="s">
        <v>985</v>
      </c>
      <c r="E200" s="8" t="s">
        <v>986</v>
      </c>
      <c r="F200" s="8" t="s">
        <v>987</v>
      </c>
      <c r="G200" s="6" t="s">
        <v>40</v>
      </c>
      <c r="H200" s="6" t="s">
        <v>961</v>
      </c>
      <c r="I200" s="6" t="s">
        <v>280</v>
      </c>
      <c r="J200" s="6" t="s">
        <v>40</v>
      </c>
      <c r="K200" s="6"/>
      <c r="L200" s="7">
        <v>45577</v>
      </c>
      <c r="M200" s="6" t="s">
        <v>25</v>
      </c>
      <c r="N200" s="8" t="s">
        <v>988</v>
      </c>
      <c r="O200" s="6">
        <f>HYPERLINK("https://docs.wto.org/imrd/directdoc.asp?DDFDocuments/t/G/TBTN24/CHL701.DOCX", "https://docs.wto.org/imrd/directdoc.asp?DDFDocuments/t/G/TBTN24/CHL701.DOCX")</f>
      </c>
      <c r="P200" s="6">
        <f>HYPERLINK("https://docs.wto.org/imrd/directdoc.asp?DDFDocuments/u/G/TBTN24/CHL701.DOCX", "https://docs.wto.org/imrd/directdoc.asp?DDFDocuments/u/G/TBTN24/CHL701.DOCX")</f>
      </c>
      <c r="Q200" s="6">
        <f>HYPERLINK("https://docs.wto.org/imrd/directdoc.asp?DDFDocuments/v/G/TBTN24/CHL701.DOCX", "https://docs.wto.org/imrd/directdoc.asp?DDFDocuments/v/G/TBTN24/CHL701.DOCX")</f>
      </c>
    </row>
    <row r="201">
      <c r="A201" s="6" t="s">
        <v>160</v>
      </c>
      <c r="B201" s="7">
        <v>45537</v>
      </c>
      <c r="C201" s="6">
        <f>HYPERLINK("https://eping.wto.org/en/Search?viewData= G/TBT/N/USA/2012/Add.1"," G/TBT/N/USA/2012/Add.1")</f>
      </c>
      <c r="D201" s="8" t="s">
        <v>989</v>
      </c>
      <c r="E201" s="8" t="s">
        <v>990</v>
      </c>
      <c r="F201" s="8" t="s">
        <v>991</v>
      </c>
      <c r="G201" s="6" t="s">
        <v>40</v>
      </c>
      <c r="H201" s="6" t="s">
        <v>992</v>
      </c>
      <c r="I201" s="6" t="s">
        <v>993</v>
      </c>
      <c r="J201" s="6" t="s">
        <v>40</v>
      </c>
      <c r="K201" s="6"/>
      <c r="L201" s="7" t="s">
        <v>40</v>
      </c>
      <c r="M201" s="6" t="s">
        <v>76</v>
      </c>
      <c r="N201" s="8" t="s">
        <v>994</v>
      </c>
      <c r="O201" s="6">
        <f>HYPERLINK("https://docs.wto.org/imrd/directdoc.asp?DDFDocuments/t/G/TBTN23/USA2012A1.DOCX", "https://docs.wto.org/imrd/directdoc.asp?DDFDocuments/t/G/TBTN23/USA2012A1.DOCX")</f>
      </c>
      <c r="P201" s="6">
        <f>HYPERLINK("https://docs.wto.org/imrd/directdoc.asp?DDFDocuments/u/G/TBTN23/USA2012A1.DOCX", "https://docs.wto.org/imrd/directdoc.asp?DDFDocuments/u/G/TBTN23/USA2012A1.DOCX")</f>
      </c>
      <c r="Q201" s="6">
        <f>HYPERLINK("https://docs.wto.org/imrd/directdoc.asp?DDFDocuments/v/G/TBTN23/USA2012A1.DOCX", "https://docs.wto.org/imrd/directdoc.asp?DDFDocuments/v/G/TBTN23/USA2012A1.DOCX")</f>
      </c>
    </row>
    <row r="202">
      <c r="A202" s="6" t="s">
        <v>160</v>
      </c>
      <c r="B202" s="7">
        <v>45537</v>
      </c>
      <c r="C202" s="6">
        <f>HYPERLINK("https://eping.wto.org/en/Search?viewData= G/TBT/N/USA/2030/Add.1"," G/TBT/N/USA/2030/Add.1")</f>
      </c>
      <c r="D202" s="8" t="s">
        <v>995</v>
      </c>
      <c r="E202" s="8" t="s">
        <v>996</v>
      </c>
      <c r="F202" s="8" t="s">
        <v>997</v>
      </c>
      <c r="G202" s="6" t="s">
        <v>40</v>
      </c>
      <c r="H202" s="6" t="s">
        <v>998</v>
      </c>
      <c r="I202" s="6" t="s">
        <v>926</v>
      </c>
      <c r="J202" s="6" t="s">
        <v>40</v>
      </c>
      <c r="K202" s="6"/>
      <c r="L202" s="7" t="s">
        <v>40</v>
      </c>
      <c r="M202" s="6" t="s">
        <v>76</v>
      </c>
      <c r="N202" s="8" t="s">
        <v>999</v>
      </c>
      <c r="O202" s="6">
        <f>HYPERLINK("https://docs.wto.org/imrd/directdoc.asp?DDFDocuments/t/G/TBTN23/USA2030A1.DOCX", "https://docs.wto.org/imrd/directdoc.asp?DDFDocuments/t/G/TBTN23/USA2030A1.DOCX")</f>
      </c>
      <c r="P202" s="6">
        <f>HYPERLINK("https://docs.wto.org/imrd/directdoc.asp?DDFDocuments/u/G/TBTN23/USA2030A1.DOCX", "https://docs.wto.org/imrd/directdoc.asp?DDFDocuments/u/G/TBTN23/USA2030A1.DOCX")</f>
      </c>
      <c r="Q202" s="6">
        <f>HYPERLINK("https://docs.wto.org/imrd/directdoc.asp?DDFDocuments/v/G/TBTN23/USA2030A1.DOCX", "https://docs.wto.org/imrd/directdoc.asp?DDFDocuments/v/G/TBTN23/USA2030A1.DOCX")</f>
      </c>
    </row>
    <row r="203">
      <c r="A203" s="6" t="s">
        <v>866</v>
      </c>
      <c r="B203" s="7">
        <v>45537</v>
      </c>
      <c r="C203" s="6">
        <f>HYPERLINK("https://eping.wto.org/en/Search?viewData= G/TBT/N/IDN/75/Add.2"," G/TBT/N/IDN/75/Add.2")</f>
      </c>
      <c r="D203" s="8" t="s">
        <v>1000</v>
      </c>
      <c r="E203" s="8" t="s">
        <v>1001</v>
      </c>
      <c r="F203" s="8" t="s">
        <v>1002</v>
      </c>
      <c r="G203" s="6" t="s">
        <v>1003</v>
      </c>
      <c r="H203" s="6" t="s">
        <v>1004</v>
      </c>
      <c r="I203" s="6" t="s">
        <v>280</v>
      </c>
      <c r="J203" s="6" t="s">
        <v>40</v>
      </c>
      <c r="K203" s="6"/>
      <c r="L203" s="7" t="s">
        <v>40</v>
      </c>
      <c r="M203" s="6" t="s">
        <v>76</v>
      </c>
      <c r="N203" s="8" t="s">
        <v>1005</v>
      </c>
      <c r="O203" s="6">
        <f>HYPERLINK("https://docs.wto.org/imrd/directdoc.asp?DDFDocuments/t/G/TBTN13/IDN75A2.DOCX", "https://docs.wto.org/imrd/directdoc.asp?DDFDocuments/t/G/TBTN13/IDN75A2.DOCX")</f>
      </c>
      <c r="P203" s="6">
        <f>HYPERLINK("https://docs.wto.org/imrd/directdoc.asp?DDFDocuments/u/G/TBTN13/IDN75A2.DOCX", "https://docs.wto.org/imrd/directdoc.asp?DDFDocuments/u/G/TBTN13/IDN75A2.DOCX")</f>
      </c>
      <c r="Q203" s="6">
        <f>HYPERLINK("https://docs.wto.org/imrd/directdoc.asp?DDFDocuments/v/G/TBTN13/IDN75A2.DOCX", "https://docs.wto.org/imrd/directdoc.asp?DDFDocuments/v/G/TBTN13/IDN75A2.DOCX")</f>
      </c>
    </row>
    <row r="204">
      <c r="A204" s="6" t="s">
        <v>392</v>
      </c>
      <c r="B204" s="7">
        <v>45537</v>
      </c>
      <c r="C204" s="6">
        <f>HYPERLINK("https://eping.wto.org/en/Search?viewData= G/SPS/N/SAU/538"," G/SPS/N/SAU/538")</f>
      </c>
      <c r="D204" s="8" t="s">
        <v>1006</v>
      </c>
      <c r="E204" s="8" t="s">
        <v>1007</v>
      </c>
      <c r="F204" s="8" t="s">
        <v>1008</v>
      </c>
      <c r="G204" s="6" t="s">
        <v>1009</v>
      </c>
      <c r="H204" s="6" t="s">
        <v>40</v>
      </c>
      <c r="I204" s="6" t="s">
        <v>791</v>
      </c>
      <c r="J204" s="6" t="s">
        <v>1010</v>
      </c>
      <c r="K204" s="6" t="s">
        <v>566</v>
      </c>
      <c r="L204" s="7" t="s">
        <v>40</v>
      </c>
      <c r="M204" s="6" t="s">
        <v>356</v>
      </c>
      <c r="N204" s="8" t="s">
        <v>1011</v>
      </c>
      <c r="O204" s="6">
        <f>HYPERLINK("https://docs.wto.org/imrd/directdoc.asp?DDFDocuments/t/G/SPS/NSAU538.DOCX", "https://docs.wto.org/imrd/directdoc.asp?DDFDocuments/t/G/SPS/NSAU538.DOCX")</f>
      </c>
      <c r="P204" s="6">
        <f>HYPERLINK("https://docs.wto.org/imrd/directdoc.asp?DDFDocuments/u/G/SPS/NSAU538.DOCX", "https://docs.wto.org/imrd/directdoc.asp?DDFDocuments/u/G/SPS/NSAU538.DOCX")</f>
      </c>
      <c r="Q204" s="6">
        <f>HYPERLINK("https://docs.wto.org/imrd/directdoc.asp?DDFDocuments/v/G/SPS/NSAU538.DOCX", "https://docs.wto.org/imrd/directdoc.asp?DDFDocuments/v/G/SPS/NSAU538.DOCX")</f>
      </c>
    </row>
    <row r="205">
      <c r="A205" s="6" t="s">
        <v>160</v>
      </c>
      <c r="B205" s="7">
        <v>45534</v>
      </c>
      <c r="C205" s="6">
        <f>HYPERLINK("https://eping.wto.org/en/Search?viewData= G/SPS/N/USA/3463/Add.1"," G/SPS/N/USA/3463/Add.1")</f>
      </c>
      <c r="D205" s="8" t="s">
        <v>1012</v>
      </c>
      <c r="E205" s="8" t="s">
        <v>1013</v>
      </c>
      <c r="F205" s="8" t="s">
        <v>1014</v>
      </c>
      <c r="G205" s="6" t="s">
        <v>1015</v>
      </c>
      <c r="H205" s="6" t="s">
        <v>40</v>
      </c>
      <c r="I205" s="6" t="s">
        <v>38</v>
      </c>
      <c r="J205" s="6" t="s">
        <v>1016</v>
      </c>
      <c r="K205" s="6"/>
      <c r="L205" s="7">
        <v>45603</v>
      </c>
      <c r="M205" s="6" t="s">
        <v>76</v>
      </c>
      <c r="N205" s="8" t="s">
        <v>1017</v>
      </c>
      <c r="O205" s="6">
        <f>HYPERLINK("https://docs.wto.org/imrd/directdoc.asp?DDFDocuments/t/G/SPS/NUSA3463A1.DOCX", "https://docs.wto.org/imrd/directdoc.asp?DDFDocuments/t/G/SPS/NUSA3463A1.DOCX")</f>
      </c>
      <c r="P205" s="6">
        <f>HYPERLINK("https://docs.wto.org/imrd/directdoc.asp?DDFDocuments/u/G/SPS/NUSA3463A1.DOCX", "https://docs.wto.org/imrd/directdoc.asp?DDFDocuments/u/G/SPS/NUSA3463A1.DOCX")</f>
      </c>
      <c r="Q205" s="6">
        <f>HYPERLINK("https://docs.wto.org/imrd/directdoc.asp?DDFDocuments/v/G/SPS/NUSA3463A1.DOCX", "https://docs.wto.org/imrd/directdoc.asp?DDFDocuments/v/G/SPS/NUSA3463A1.DOCX")</f>
      </c>
    </row>
    <row r="206">
      <c r="A206" s="6" t="s">
        <v>866</v>
      </c>
      <c r="B206" s="7">
        <v>45534</v>
      </c>
      <c r="C206" s="6">
        <f>HYPERLINK("https://eping.wto.org/en/Search?viewData= G/TBT/N/IDN/87/Add.1"," G/TBT/N/IDN/87/Add.1")</f>
      </c>
      <c r="D206" s="8" t="s">
        <v>1018</v>
      </c>
      <c r="E206" s="8" t="s">
        <v>1019</v>
      </c>
      <c r="F206" s="8" t="s">
        <v>1020</v>
      </c>
      <c r="G206" s="6" t="s">
        <v>1021</v>
      </c>
      <c r="H206" s="6" t="s">
        <v>1022</v>
      </c>
      <c r="I206" s="6" t="s">
        <v>872</v>
      </c>
      <c r="J206" s="6" t="s">
        <v>40</v>
      </c>
      <c r="K206" s="6"/>
      <c r="L206" s="7" t="s">
        <v>40</v>
      </c>
      <c r="M206" s="6" t="s">
        <v>76</v>
      </c>
      <c r="N206" s="8" t="s">
        <v>1023</v>
      </c>
      <c r="O206" s="6">
        <f>HYPERLINK("https://docs.wto.org/imrd/directdoc.asp?DDFDocuments/t/G/TBTN14/IDN87A1.DOCX", "https://docs.wto.org/imrd/directdoc.asp?DDFDocuments/t/G/TBTN14/IDN87A1.DOCX")</f>
      </c>
      <c r="P206" s="6">
        <f>HYPERLINK("https://docs.wto.org/imrd/directdoc.asp?DDFDocuments/u/G/TBTN14/IDN87A1.DOCX", "https://docs.wto.org/imrd/directdoc.asp?DDFDocuments/u/G/TBTN14/IDN87A1.DOCX")</f>
      </c>
      <c r="Q206" s="6">
        <f>HYPERLINK("https://docs.wto.org/imrd/directdoc.asp?DDFDocuments/v/G/TBTN14/IDN87A1.DOCX", "https://docs.wto.org/imrd/directdoc.asp?DDFDocuments/v/G/TBTN14/IDN87A1.DOCX")</f>
      </c>
    </row>
    <row r="207">
      <c r="A207" s="6" t="s">
        <v>129</v>
      </c>
      <c r="B207" s="7">
        <v>45534</v>
      </c>
      <c r="C207" s="6">
        <f>HYPERLINK("https://eping.wto.org/en/Search?viewData= G/SPS/N/IND/75/Add.1"," G/SPS/N/IND/75/Add.1")</f>
      </c>
      <c r="D207" s="8" t="s">
        <v>1024</v>
      </c>
      <c r="E207" s="8" t="s">
        <v>1025</v>
      </c>
      <c r="F207" s="8" t="s">
        <v>1026</v>
      </c>
      <c r="G207" s="6" t="s">
        <v>1027</v>
      </c>
      <c r="H207" s="6" t="s">
        <v>40</v>
      </c>
      <c r="I207" s="6" t="s">
        <v>827</v>
      </c>
      <c r="J207" s="6" t="s">
        <v>1028</v>
      </c>
      <c r="K207" s="6"/>
      <c r="L207" s="7" t="s">
        <v>40</v>
      </c>
      <c r="M207" s="6" t="s">
        <v>76</v>
      </c>
      <c r="N207" s="8" t="s">
        <v>1029</v>
      </c>
      <c r="O207" s="6">
        <f>HYPERLINK("https://docs.wto.org/imrd/directdoc.asp?DDFDocuments/t/G/SPS/NIND75A1.DOCX", "https://docs.wto.org/imrd/directdoc.asp?DDFDocuments/t/G/SPS/NIND75A1.DOCX")</f>
      </c>
      <c r="P207" s="6">
        <f>HYPERLINK("https://docs.wto.org/imrd/directdoc.asp?DDFDocuments/u/G/SPS/NIND75A1.DOCX", "https://docs.wto.org/imrd/directdoc.asp?DDFDocuments/u/G/SPS/NIND75A1.DOCX")</f>
      </c>
      <c r="Q207" s="6">
        <f>HYPERLINK("https://docs.wto.org/imrd/directdoc.asp?DDFDocuments/v/G/SPS/NIND75A1.DOCX", "https://docs.wto.org/imrd/directdoc.asp?DDFDocuments/v/G/SPS/NIND75A1.DOCX")</f>
      </c>
    </row>
    <row r="208">
      <c r="A208" s="6" t="s">
        <v>70</v>
      </c>
      <c r="B208" s="7">
        <v>45534</v>
      </c>
      <c r="C208" s="6">
        <f>HYPERLINK("https://eping.wto.org/en/Search?viewData= G/SPS/N/UKR/228"," G/SPS/N/UKR/228")</f>
      </c>
      <c r="D208" s="8" t="s">
        <v>1030</v>
      </c>
      <c r="E208" s="8" t="s">
        <v>1031</v>
      </c>
      <c r="F208" s="8" t="s">
        <v>1032</v>
      </c>
      <c r="G208" s="6" t="s">
        <v>1033</v>
      </c>
      <c r="H208" s="6" t="s">
        <v>1034</v>
      </c>
      <c r="I208" s="6" t="s">
        <v>791</v>
      </c>
      <c r="J208" s="6" t="s">
        <v>792</v>
      </c>
      <c r="K208" s="6" t="s">
        <v>40</v>
      </c>
      <c r="L208" s="7">
        <v>45594</v>
      </c>
      <c r="M208" s="6" t="s">
        <v>25</v>
      </c>
      <c r="N208" s="8" t="s">
        <v>1035</v>
      </c>
      <c r="O208" s="6">
        <f>HYPERLINK("https://docs.wto.org/imrd/directdoc.asp?DDFDocuments/t/G/SPS/NUKR228.DOCX", "https://docs.wto.org/imrd/directdoc.asp?DDFDocuments/t/G/SPS/NUKR228.DOCX")</f>
      </c>
      <c r="P208" s="6">
        <f>HYPERLINK("https://docs.wto.org/imrd/directdoc.asp?DDFDocuments/u/G/SPS/NUKR228.DOCX", "https://docs.wto.org/imrd/directdoc.asp?DDFDocuments/u/G/SPS/NUKR228.DOCX")</f>
      </c>
      <c r="Q208" s="6">
        <f>HYPERLINK("https://docs.wto.org/imrd/directdoc.asp?DDFDocuments/v/G/SPS/NUKR228.DOCX", "https://docs.wto.org/imrd/directdoc.asp?DDFDocuments/v/G/SPS/NUKR228.DOCX")</f>
      </c>
    </row>
    <row r="209">
      <c r="A209" s="6" t="s">
        <v>348</v>
      </c>
      <c r="B209" s="7">
        <v>45534</v>
      </c>
      <c r="C209" s="6">
        <f>HYPERLINK("https://eping.wto.org/en/Search?viewData= G/SPS/N/RUS/288"," G/SPS/N/RUS/288")</f>
      </c>
      <c r="D209" s="8" t="s">
        <v>1036</v>
      </c>
      <c r="E209" s="8" t="s">
        <v>1037</v>
      </c>
      <c r="F209" s="8" t="s">
        <v>351</v>
      </c>
      <c r="G209" s="6" t="s">
        <v>352</v>
      </c>
      <c r="H209" s="6" t="s">
        <v>40</v>
      </c>
      <c r="I209" s="6" t="s">
        <v>353</v>
      </c>
      <c r="J209" s="6" t="s">
        <v>1038</v>
      </c>
      <c r="K209" s="6" t="s">
        <v>1039</v>
      </c>
      <c r="L209" s="7" t="s">
        <v>40</v>
      </c>
      <c r="M209" s="6" t="s">
        <v>356</v>
      </c>
      <c r="N209" s="8" t="s">
        <v>1040</v>
      </c>
      <c r="O209" s="6">
        <f>HYPERLINK("https://docs.wto.org/imrd/directdoc.asp?DDFDocuments/t/G/SPS/NRUS288.DOCX", "https://docs.wto.org/imrd/directdoc.asp?DDFDocuments/t/G/SPS/NRUS288.DOCX")</f>
      </c>
      <c r="P209" s="6">
        <f>HYPERLINK("https://docs.wto.org/imrd/directdoc.asp?DDFDocuments/u/G/SPS/NRUS288.DOCX", "https://docs.wto.org/imrd/directdoc.asp?DDFDocuments/u/G/SPS/NRUS288.DOCX")</f>
      </c>
      <c r="Q209" s="6">
        <f>HYPERLINK("https://docs.wto.org/imrd/directdoc.asp?DDFDocuments/v/G/SPS/NRUS288.DOCX", "https://docs.wto.org/imrd/directdoc.asp?DDFDocuments/v/G/SPS/NRUS288.DOCX")</f>
      </c>
    </row>
    <row r="210">
      <c r="A210" s="6" t="s">
        <v>412</v>
      </c>
      <c r="B210" s="7">
        <v>45534</v>
      </c>
      <c r="C210" s="6">
        <f>HYPERLINK("https://eping.wto.org/en/Search?viewData= G/SPS/N/COL/367"," G/SPS/N/COL/367")</f>
      </c>
      <c r="D210" s="8" t="s">
        <v>1041</v>
      </c>
      <c r="E210" s="8" t="s">
        <v>1042</v>
      </c>
      <c r="F210" s="8" t="s">
        <v>1043</v>
      </c>
      <c r="G210" s="6" t="s">
        <v>1044</v>
      </c>
      <c r="H210" s="6" t="s">
        <v>40</v>
      </c>
      <c r="I210" s="6" t="s">
        <v>184</v>
      </c>
      <c r="J210" s="6" t="s">
        <v>410</v>
      </c>
      <c r="K210" s="6" t="s">
        <v>450</v>
      </c>
      <c r="L210" s="7">
        <v>45594</v>
      </c>
      <c r="M210" s="6" t="s">
        <v>25</v>
      </c>
      <c r="N210" s="8" t="s">
        <v>1045</v>
      </c>
      <c r="O210" s="6">
        <f>HYPERLINK("https://docs.wto.org/imrd/directdoc.asp?DDFDocuments/t/G/SPS/NCOL367.DOCX", "https://docs.wto.org/imrd/directdoc.asp?DDFDocuments/t/G/SPS/NCOL367.DOCX")</f>
      </c>
      <c r="P210" s="6">
        <f>HYPERLINK("https://docs.wto.org/imrd/directdoc.asp?DDFDocuments/u/G/SPS/NCOL367.DOCX", "https://docs.wto.org/imrd/directdoc.asp?DDFDocuments/u/G/SPS/NCOL367.DOCX")</f>
      </c>
      <c r="Q210" s="6">
        <f>HYPERLINK("https://docs.wto.org/imrd/directdoc.asp?DDFDocuments/v/G/SPS/NCOL367.DOCX", "https://docs.wto.org/imrd/directdoc.asp?DDFDocuments/v/G/SPS/NCOL367.DOCX")</f>
      </c>
    </row>
    <row r="211">
      <c r="A211" s="6" t="s">
        <v>419</v>
      </c>
      <c r="B211" s="7">
        <v>45534</v>
      </c>
      <c r="C211" s="6">
        <f>HYPERLINK("https://eping.wto.org/en/Search?viewData= G/TBT/N/JPN/827"," G/TBT/N/JPN/827")</f>
      </c>
      <c r="D211" s="8" t="s">
        <v>1046</v>
      </c>
      <c r="E211" s="8" t="s">
        <v>1047</v>
      </c>
      <c r="F211" s="8" t="s">
        <v>1048</v>
      </c>
      <c r="G211" s="6" t="s">
        <v>1049</v>
      </c>
      <c r="H211" s="6" t="s">
        <v>1050</v>
      </c>
      <c r="I211" s="6" t="s">
        <v>142</v>
      </c>
      <c r="J211" s="6" t="s">
        <v>40</v>
      </c>
      <c r="K211" s="6"/>
      <c r="L211" s="7">
        <v>45594</v>
      </c>
      <c r="M211" s="6" t="s">
        <v>25</v>
      </c>
      <c r="N211" s="8" t="s">
        <v>1051</v>
      </c>
      <c r="O211" s="6">
        <f>HYPERLINK("https://docs.wto.org/imrd/directdoc.asp?DDFDocuments/t/G/TBTN24/JPN827.DOCX", "https://docs.wto.org/imrd/directdoc.asp?DDFDocuments/t/G/TBTN24/JPN827.DOCX")</f>
      </c>
      <c r="P211" s="6">
        <f>HYPERLINK("https://docs.wto.org/imrd/directdoc.asp?DDFDocuments/u/G/TBTN24/JPN827.DOCX", "https://docs.wto.org/imrd/directdoc.asp?DDFDocuments/u/G/TBTN24/JPN827.DOCX")</f>
      </c>
      <c r="Q211" s="6">
        <f>HYPERLINK("https://docs.wto.org/imrd/directdoc.asp?DDFDocuments/v/G/TBTN24/JPN827.DOCX", "https://docs.wto.org/imrd/directdoc.asp?DDFDocuments/v/G/TBTN24/JPN827.DOCX")</f>
      </c>
    </row>
    <row r="212">
      <c r="A212" s="6" t="s">
        <v>89</v>
      </c>
      <c r="B212" s="7">
        <v>45534</v>
      </c>
      <c r="C212" s="6">
        <f>HYPERLINK("https://eping.wto.org/en/Search?viewData= G/TBT/N/ECU/504/Add.3"," G/TBT/N/ECU/504/Add.3")</f>
      </c>
      <c r="D212" s="8" t="s">
        <v>1052</v>
      </c>
      <c r="E212" s="8" t="s">
        <v>1053</v>
      </c>
      <c r="F212" s="8" t="s">
        <v>1054</v>
      </c>
      <c r="G212" s="6" t="s">
        <v>40</v>
      </c>
      <c r="H212" s="6" t="s">
        <v>1055</v>
      </c>
      <c r="I212" s="6" t="s">
        <v>94</v>
      </c>
      <c r="J212" s="6" t="s">
        <v>154</v>
      </c>
      <c r="K212" s="6"/>
      <c r="L212" s="7">
        <v>45599</v>
      </c>
      <c r="M212" s="6" t="s">
        <v>76</v>
      </c>
      <c r="N212" s="8" t="s">
        <v>1056</v>
      </c>
      <c r="O212" s="6">
        <f>HYPERLINK("https://docs.wto.org/imrd/directdoc.asp?DDFDocuments/t/G/TBTN21/ECU504A3.DOCX", "https://docs.wto.org/imrd/directdoc.asp?DDFDocuments/t/G/TBTN21/ECU504A3.DOCX")</f>
      </c>
      <c r="P212" s="6">
        <f>HYPERLINK("https://docs.wto.org/imrd/directdoc.asp?DDFDocuments/u/G/TBTN21/ECU504A3.DOCX", "https://docs.wto.org/imrd/directdoc.asp?DDFDocuments/u/G/TBTN21/ECU504A3.DOCX")</f>
      </c>
      <c r="Q212" s="6">
        <f>HYPERLINK("https://docs.wto.org/imrd/directdoc.asp?DDFDocuments/v/G/TBTN21/ECU504A3.DOCX", "https://docs.wto.org/imrd/directdoc.asp?DDFDocuments/v/G/TBTN21/ECU504A3.DOCX")</f>
      </c>
    </row>
    <row r="213">
      <c r="A213" s="6" t="s">
        <v>160</v>
      </c>
      <c r="B213" s="7">
        <v>45534</v>
      </c>
      <c r="C213" s="6">
        <f>HYPERLINK("https://eping.wto.org/en/Search?viewData= G/SPS/N/USA/3474"," G/SPS/N/USA/3474")</f>
      </c>
      <c r="D213" s="8" t="s">
        <v>1057</v>
      </c>
      <c r="E213" s="8" t="s">
        <v>1058</v>
      </c>
      <c r="F213" s="8" t="s">
        <v>1059</v>
      </c>
      <c r="G213" s="6" t="s">
        <v>40</v>
      </c>
      <c r="H213" s="6" t="s">
        <v>40</v>
      </c>
      <c r="I213" s="6" t="s">
        <v>38</v>
      </c>
      <c r="J213" s="6" t="s">
        <v>103</v>
      </c>
      <c r="K213" s="6"/>
      <c r="L213" s="7" t="s">
        <v>40</v>
      </c>
      <c r="M213" s="6" t="s">
        <v>25</v>
      </c>
      <c r="N213" s="8" t="s">
        <v>1060</v>
      </c>
      <c r="O213" s="6">
        <f>HYPERLINK("https://docs.wto.org/imrd/directdoc.asp?DDFDocuments/t/G/SPS/NUSA3474.DOCX", "https://docs.wto.org/imrd/directdoc.asp?DDFDocuments/t/G/SPS/NUSA3474.DOCX")</f>
      </c>
      <c r="P213" s="6">
        <f>HYPERLINK("https://docs.wto.org/imrd/directdoc.asp?DDFDocuments/u/G/SPS/NUSA3474.DOCX", "https://docs.wto.org/imrd/directdoc.asp?DDFDocuments/u/G/SPS/NUSA3474.DOCX")</f>
      </c>
      <c r="Q213" s="6">
        <f>HYPERLINK("https://docs.wto.org/imrd/directdoc.asp?DDFDocuments/v/G/SPS/NUSA3474.DOCX", "https://docs.wto.org/imrd/directdoc.asp?DDFDocuments/v/G/SPS/NUSA3474.DOCX")</f>
      </c>
    </row>
    <row r="214">
      <c r="A214" s="6" t="s">
        <v>866</v>
      </c>
      <c r="B214" s="7">
        <v>45534</v>
      </c>
      <c r="C214" s="6">
        <f>HYPERLINK("https://eping.wto.org/en/Search?viewData= G/TBT/N/IDN/72/Add.2"," G/TBT/N/IDN/72/Add.2")</f>
      </c>
      <c r="D214" s="8" t="s">
        <v>1061</v>
      </c>
      <c r="E214" s="8" t="s">
        <v>1062</v>
      </c>
      <c r="F214" s="8" t="s">
        <v>1063</v>
      </c>
      <c r="G214" s="6" t="s">
        <v>1064</v>
      </c>
      <c r="H214" s="6" t="s">
        <v>1065</v>
      </c>
      <c r="I214" s="6" t="s">
        <v>280</v>
      </c>
      <c r="J214" s="6" t="s">
        <v>40</v>
      </c>
      <c r="K214" s="6"/>
      <c r="L214" s="7" t="s">
        <v>40</v>
      </c>
      <c r="M214" s="6" t="s">
        <v>76</v>
      </c>
      <c r="N214" s="8" t="s">
        <v>1066</v>
      </c>
      <c r="O214" s="6">
        <f>HYPERLINK("https://docs.wto.org/imrd/directdoc.asp?DDFDocuments/t/G/TBTN13/IDN72A2.DOCX", "https://docs.wto.org/imrd/directdoc.asp?DDFDocuments/t/G/TBTN13/IDN72A2.DOCX")</f>
      </c>
      <c r="P214" s="6">
        <f>HYPERLINK("https://docs.wto.org/imrd/directdoc.asp?DDFDocuments/u/G/TBTN13/IDN72A2.DOCX", "https://docs.wto.org/imrd/directdoc.asp?DDFDocuments/u/G/TBTN13/IDN72A2.DOCX")</f>
      </c>
      <c r="Q214" s="6">
        <f>HYPERLINK("https://docs.wto.org/imrd/directdoc.asp?DDFDocuments/v/G/TBTN13/IDN72A2.DOCX", "https://docs.wto.org/imrd/directdoc.asp?DDFDocuments/v/G/TBTN13/IDN72A2.DOCX")</f>
      </c>
    </row>
    <row r="215">
      <c r="A215" s="6" t="s">
        <v>160</v>
      </c>
      <c r="B215" s="7">
        <v>45534</v>
      </c>
      <c r="C215" s="6">
        <f>HYPERLINK("https://eping.wto.org/en/Search?viewData= G/SPS/N/USA/3473"," G/SPS/N/USA/3473")</f>
      </c>
      <c r="D215" s="8" t="s">
        <v>1067</v>
      </c>
      <c r="E215" s="8" t="s">
        <v>1068</v>
      </c>
      <c r="F215" s="8" t="s">
        <v>951</v>
      </c>
      <c r="G215" s="6" t="s">
        <v>40</v>
      </c>
      <c r="H215" s="6" t="s">
        <v>1069</v>
      </c>
      <c r="I215" s="6" t="s">
        <v>38</v>
      </c>
      <c r="J215" s="6" t="s">
        <v>60</v>
      </c>
      <c r="K215" s="6" t="s">
        <v>40</v>
      </c>
      <c r="L215" s="7" t="s">
        <v>40</v>
      </c>
      <c r="M215" s="6" t="s">
        <v>25</v>
      </c>
      <c r="N215" s="8" t="s">
        <v>1070</v>
      </c>
      <c r="O215" s="6">
        <f>HYPERLINK("https://docs.wto.org/imrd/directdoc.asp?DDFDocuments/t/G/SPS/NUSA3473.DOCX", "https://docs.wto.org/imrd/directdoc.asp?DDFDocuments/t/G/SPS/NUSA3473.DOCX")</f>
      </c>
      <c r="P215" s="6">
        <f>HYPERLINK("https://docs.wto.org/imrd/directdoc.asp?DDFDocuments/u/G/SPS/NUSA3473.DOCX", "https://docs.wto.org/imrd/directdoc.asp?DDFDocuments/u/G/SPS/NUSA3473.DOCX")</f>
      </c>
      <c r="Q215" s="6">
        <f>HYPERLINK("https://docs.wto.org/imrd/directdoc.asp?DDFDocuments/v/G/SPS/NUSA3473.DOCX", "https://docs.wto.org/imrd/directdoc.asp?DDFDocuments/v/G/SPS/NUSA3473.DOCX")</f>
      </c>
    </row>
    <row r="216">
      <c r="A216" s="6" t="s">
        <v>412</v>
      </c>
      <c r="B216" s="7">
        <v>45534</v>
      </c>
      <c r="C216" s="6">
        <f>HYPERLINK("https://eping.wto.org/en/Search?viewData= G/SPS/N/COL/366"," G/SPS/N/COL/366")</f>
      </c>
      <c r="D216" s="8" t="s">
        <v>1071</v>
      </c>
      <c r="E216" s="8" t="s">
        <v>1072</v>
      </c>
      <c r="F216" s="8" t="s">
        <v>1073</v>
      </c>
      <c r="G216" s="6" t="s">
        <v>1074</v>
      </c>
      <c r="H216" s="6" t="s">
        <v>40</v>
      </c>
      <c r="I216" s="6" t="s">
        <v>184</v>
      </c>
      <c r="J216" s="6" t="s">
        <v>1075</v>
      </c>
      <c r="K216" s="6" t="s">
        <v>1076</v>
      </c>
      <c r="L216" s="7">
        <v>45594</v>
      </c>
      <c r="M216" s="6" t="s">
        <v>25</v>
      </c>
      <c r="N216" s="8" t="s">
        <v>1077</v>
      </c>
      <c r="O216" s="6">
        <f>HYPERLINK("https://docs.wto.org/imrd/directdoc.asp?DDFDocuments/t/G/SPS/NCOL366.DOCX", "https://docs.wto.org/imrd/directdoc.asp?DDFDocuments/t/G/SPS/NCOL366.DOCX")</f>
      </c>
      <c r="P216" s="6">
        <f>HYPERLINK("https://docs.wto.org/imrd/directdoc.asp?DDFDocuments/u/G/SPS/NCOL366.DOCX", "https://docs.wto.org/imrd/directdoc.asp?DDFDocuments/u/G/SPS/NCOL366.DOCX")</f>
      </c>
      <c r="Q216" s="6">
        <f>HYPERLINK("https://docs.wto.org/imrd/directdoc.asp?DDFDocuments/v/G/SPS/NCOL366.DOCX", "https://docs.wto.org/imrd/directdoc.asp?DDFDocuments/v/G/SPS/NCOL366.DOCX")</f>
      </c>
    </row>
    <row r="217">
      <c r="A217" s="6" t="s">
        <v>401</v>
      </c>
      <c r="B217" s="7">
        <v>45534</v>
      </c>
      <c r="C217" s="6">
        <f>HYPERLINK("https://eping.wto.org/en/Search?viewData= G/SPS/N/KOR/808"," G/SPS/N/KOR/808")</f>
      </c>
      <c r="D217" s="8" t="s">
        <v>1078</v>
      </c>
      <c r="E217" s="8" t="s">
        <v>1079</v>
      </c>
      <c r="F217" s="8" t="s">
        <v>518</v>
      </c>
      <c r="G217" s="6" t="s">
        <v>40</v>
      </c>
      <c r="H217" s="6" t="s">
        <v>40</v>
      </c>
      <c r="I217" s="6" t="s">
        <v>38</v>
      </c>
      <c r="J217" s="6" t="s">
        <v>1080</v>
      </c>
      <c r="K217" s="6" t="s">
        <v>40</v>
      </c>
      <c r="L217" s="7">
        <v>45594</v>
      </c>
      <c r="M217" s="6" t="s">
        <v>25</v>
      </c>
      <c r="N217" s="8" t="s">
        <v>1081</v>
      </c>
      <c r="O217" s="6">
        <f>HYPERLINK("https://docs.wto.org/imrd/directdoc.asp?DDFDocuments/t/G/SPS/NKOR808.DOCX", "https://docs.wto.org/imrd/directdoc.asp?DDFDocuments/t/G/SPS/NKOR808.DOCX")</f>
      </c>
      <c r="P217" s="6">
        <f>HYPERLINK("https://docs.wto.org/imrd/directdoc.asp?DDFDocuments/u/G/SPS/NKOR808.DOCX", "https://docs.wto.org/imrd/directdoc.asp?DDFDocuments/u/G/SPS/NKOR808.DOCX")</f>
      </c>
      <c r="Q217" s="6">
        <f>HYPERLINK("https://docs.wto.org/imrd/directdoc.asp?DDFDocuments/v/G/SPS/NKOR808.DOCX", "https://docs.wto.org/imrd/directdoc.asp?DDFDocuments/v/G/SPS/NKOR808.DOCX")</f>
      </c>
    </row>
    <row r="218">
      <c r="A218" s="6" t="s">
        <v>412</v>
      </c>
      <c r="B218" s="7">
        <v>45534</v>
      </c>
      <c r="C218" s="6">
        <f>HYPERLINK("https://eping.wto.org/en/Search?viewData= G/SPS/N/COL/365"," G/SPS/N/COL/365")</f>
      </c>
      <c r="D218" s="8" t="s">
        <v>1082</v>
      </c>
      <c r="E218" s="8" t="s">
        <v>1083</v>
      </c>
      <c r="F218" s="8" t="s">
        <v>1084</v>
      </c>
      <c r="G218" s="6" t="s">
        <v>409</v>
      </c>
      <c r="H218" s="6" t="s">
        <v>40</v>
      </c>
      <c r="I218" s="6" t="s">
        <v>184</v>
      </c>
      <c r="J218" s="6" t="s">
        <v>1075</v>
      </c>
      <c r="K218" s="6" t="s">
        <v>115</v>
      </c>
      <c r="L218" s="7">
        <v>45594</v>
      </c>
      <c r="M218" s="6" t="s">
        <v>25</v>
      </c>
      <c r="N218" s="8" t="s">
        <v>1085</v>
      </c>
      <c r="O218" s="6">
        <f>HYPERLINK("https://docs.wto.org/imrd/directdoc.asp?DDFDocuments/t/G/SPS/NCOL365.DOCX", "https://docs.wto.org/imrd/directdoc.asp?DDFDocuments/t/G/SPS/NCOL365.DOCX")</f>
      </c>
      <c r="P218" s="6">
        <f>HYPERLINK("https://docs.wto.org/imrd/directdoc.asp?DDFDocuments/u/G/SPS/NCOL365.DOCX", "https://docs.wto.org/imrd/directdoc.asp?DDFDocuments/u/G/SPS/NCOL365.DOCX")</f>
      </c>
      <c r="Q218" s="6">
        <f>HYPERLINK("https://docs.wto.org/imrd/directdoc.asp?DDFDocuments/v/G/SPS/NCOL365.DOCX", "https://docs.wto.org/imrd/directdoc.asp?DDFDocuments/v/G/SPS/NCOL365.DOCX")</f>
      </c>
    </row>
    <row r="219">
      <c r="A219" s="6" t="s">
        <v>70</v>
      </c>
      <c r="B219" s="7">
        <v>45534</v>
      </c>
      <c r="C219" s="6">
        <f>HYPERLINK("https://eping.wto.org/en/Search?viewData= G/TBT/N/UKR/275/Add.1"," G/TBT/N/UKR/275/Add.1")</f>
      </c>
      <c r="D219" s="8" t="s">
        <v>1086</v>
      </c>
      <c r="E219" s="8" t="s">
        <v>1087</v>
      </c>
      <c r="F219" s="8" t="s">
        <v>1088</v>
      </c>
      <c r="G219" s="6" t="s">
        <v>40</v>
      </c>
      <c r="H219" s="6" t="s">
        <v>1089</v>
      </c>
      <c r="I219" s="6" t="s">
        <v>1090</v>
      </c>
      <c r="J219" s="6" t="s">
        <v>40</v>
      </c>
      <c r="K219" s="6"/>
      <c r="L219" s="7" t="s">
        <v>40</v>
      </c>
      <c r="M219" s="6" t="s">
        <v>76</v>
      </c>
      <c r="N219" s="8" t="s">
        <v>1091</v>
      </c>
      <c r="O219" s="6">
        <f>HYPERLINK("https://docs.wto.org/imrd/directdoc.asp?DDFDocuments/t/G/TBTN23/UKR275A1.DOCX", "https://docs.wto.org/imrd/directdoc.asp?DDFDocuments/t/G/TBTN23/UKR275A1.DOCX")</f>
      </c>
      <c r="P219" s="6">
        <f>HYPERLINK("https://docs.wto.org/imrd/directdoc.asp?DDFDocuments/u/G/TBTN23/UKR275A1.DOCX", "https://docs.wto.org/imrd/directdoc.asp?DDFDocuments/u/G/TBTN23/UKR275A1.DOCX")</f>
      </c>
      <c r="Q219" s="6">
        <f>HYPERLINK("https://docs.wto.org/imrd/directdoc.asp?DDFDocuments/v/G/TBTN23/UKR275A1.DOCX", "https://docs.wto.org/imrd/directdoc.asp?DDFDocuments/v/G/TBTN23/UKR275A1.DOCX")</f>
      </c>
    </row>
    <row r="220">
      <c r="A220" s="6" t="s">
        <v>70</v>
      </c>
      <c r="B220" s="7">
        <v>45534</v>
      </c>
      <c r="C220" s="6">
        <f>HYPERLINK("https://eping.wto.org/en/Search?viewData= G/TBT/N/UKR/306"," G/TBT/N/UKR/306")</f>
      </c>
      <c r="D220" s="8" t="s">
        <v>1092</v>
      </c>
      <c r="E220" s="8" t="s">
        <v>1093</v>
      </c>
      <c r="F220" s="8" t="s">
        <v>1094</v>
      </c>
      <c r="G220" s="6" t="s">
        <v>40</v>
      </c>
      <c r="H220" s="6" t="s">
        <v>1034</v>
      </c>
      <c r="I220" s="6" t="s">
        <v>785</v>
      </c>
      <c r="J220" s="6" t="s">
        <v>1095</v>
      </c>
      <c r="K220" s="6"/>
      <c r="L220" s="7">
        <v>45594</v>
      </c>
      <c r="M220" s="6" t="s">
        <v>25</v>
      </c>
      <c r="N220" s="8" t="s">
        <v>1096</v>
      </c>
      <c r="O220" s="6">
        <f>HYPERLINK("https://docs.wto.org/imrd/directdoc.asp?DDFDocuments/t/G/TBTN24/UKR306.DOCX", "https://docs.wto.org/imrd/directdoc.asp?DDFDocuments/t/G/TBTN24/UKR306.DOCX")</f>
      </c>
      <c r="P220" s="6">
        <f>HYPERLINK("https://docs.wto.org/imrd/directdoc.asp?DDFDocuments/u/G/TBTN24/UKR306.DOCX", "https://docs.wto.org/imrd/directdoc.asp?DDFDocuments/u/G/TBTN24/UKR306.DOCX")</f>
      </c>
      <c r="Q220" s="6">
        <f>HYPERLINK("https://docs.wto.org/imrd/directdoc.asp?DDFDocuments/v/G/TBTN24/UKR306.DOCX", "https://docs.wto.org/imrd/directdoc.asp?DDFDocuments/v/G/TBTN24/UKR306.DOCX")</f>
      </c>
    </row>
    <row r="221">
      <c r="A221" s="6" t="s">
        <v>160</v>
      </c>
      <c r="B221" s="7">
        <v>45534</v>
      </c>
      <c r="C221" s="6">
        <f>HYPERLINK("https://eping.wto.org/en/Search?viewData= G/TBT/N/USA/2027/Add.2"," G/TBT/N/USA/2027/Add.2")</f>
      </c>
      <c r="D221" s="8" t="s">
        <v>1097</v>
      </c>
      <c r="E221" s="8" t="s">
        <v>1098</v>
      </c>
      <c r="F221" s="8" t="s">
        <v>666</v>
      </c>
      <c r="G221" s="6" t="s">
        <v>40</v>
      </c>
      <c r="H221" s="6" t="s">
        <v>1099</v>
      </c>
      <c r="I221" s="6" t="s">
        <v>668</v>
      </c>
      <c r="J221" s="6" t="s">
        <v>40</v>
      </c>
      <c r="K221" s="6"/>
      <c r="L221" s="7" t="s">
        <v>40</v>
      </c>
      <c r="M221" s="6" t="s">
        <v>76</v>
      </c>
      <c r="N221" s="8" t="s">
        <v>1100</v>
      </c>
      <c r="O221" s="6">
        <f>HYPERLINK("https://docs.wto.org/imrd/directdoc.asp?DDFDocuments/t/G/TBTN23/USA2027A2.DOCX", "https://docs.wto.org/imrd/directdoc.asp?DDFDocuments/t/G/TBTN23/USA2027A2.DOCX")</f>
      </c>
      <c r="P221" s="6">
        <f>HYPERLINK("https://docs.wto.org/imrd/directdoc.asp?DDFDocuments/u/G/TBTN23/USA2027A2.DOCX", "https://docs.wto.org/imrd/directdoc.asp?DDFDocuments/u/G/TBTN23/USA2027A2.DOCX")</f>
      </c>
      <c r="Q221" s="6">
        <f>HYPERLINK("https://docs.wto.org/imrd/directdoc.asp?DDFDocuments/v/G/TBTN23/USA2027A2.DOCX", "https://docs.wto.org/imrd/directdoc.asp?DDFDocuments/v/G/TBTN23/USA2027A2.DOCX")</f>
      </c>
    </row>
    <row r="222">
      <c r="A222" s="6" t="s">
        <v>99</v>
      </c>
      <c r="B222" s="7">
        <v>45534</v>
      </c>
      <c r="C222" s="6">
        <f>HYPERLINK("https://eping.wto.org/en/Search?viewData= G/TBT/N/AUS/174"," G/TBT/N/AUS/174")</f>
      </c>
      <c r="D222" s="8" t="s">
        <v>1101</v>
      </c>
      <c r="E222" s="8" t="s">
        <v>1102</v>
      </c>
      <c r="F222" s="8" t="s">
        <v>1103</v>
      </c>
      <c r="G222" s="6" t="s">
        <v>40</v>
      </c>
      <c r="H222" s="6" t="s">
        <v>1104</v>
      </c>
      <c r="I222" s="6" t="s">
        <v>40</v>
      </c>
      <c r="J222" s="6" t="s">
        <v>24</v>
      </c>
      <c r="K222" s="6"/>
      <c r="L222" s="7">
        <v>45589</v>
      </c>
      <c r="M222" s="6" t="s">
        <v>25</v>
      </c>
      <c r="N222" s="6"/>
      <c r="O222" s="6">
        <f>HYPERLINK("https://docs.wto.org/imrd/directdoc.asp?DDFDocuments/t/G/TBTN24/AUS174.DOCX", "https://docs.wto.org/imrd/directdoc.asp?DDFDocuments/t/G/TBTN24/AUS174.DOCX")</f>
      </c>
      <c r="P222" s="6">
        <f>HYPERLINK("https://docs.wto.org/imrd/directdoc.asp?DDFDocuments/u/G/TBTN24/AUS174.DOCX", "https://docs.wto.org/imrd/directdoc.asp?DDFDocuments/u/G/TBTN24/AUS174.DOCX")</f>
      </c>
      <c r="Q222" s="6">
        <f>HYPERLINK("https://docs.wto.org/imrd/directdoc.asp?DDFDocuments/v/G/TBTN24/AUS174.DOCX", "https://docs.wto.org/imrd/directdoc.asp?DDFDocuments/v/G/TBTN24/AUS174.DOCX")</f>
      </c>
    </row>
    <row r="223">
      <c r="A223" s="6" t="s">
        <v>70</v>
      </c>
      <c r="B223" s="7">
        <v>45534</v>
      </c>
      <c r="C223" s="6">
        <f>HYPERLINK("https://eping.wto.org/en/Search?viewData= G/SPS/N/UKR/229"," G/SPS/N/UKR/229")</f>
      </c>
      <c r="D223" s="8" t="s">
        <v>1105</v>
      </c>
      <c r="E223" s="8" t="s">
        <v>1106</v>
      </c>
      <c r="F223" s="8" t="s">
        <v>1107</v>
      </c>
      <c r="G223" s="6" t="s">
        <v>40</v>
      </c>
      <c r="H223" s="6" t="s">
        <v>40</v>
      </c>
      <c r="I223" s="6" t="s">
        <v>791</v>
      </c>
      <c r="J223" s="6" t="s">
        <v>792</v>
      </c>
      <c r="K223" s="6" t="s">
        <v>40</v>
      </c>
      <c r="L223" s="7">
        <v>45594</v>
      </c>
      <c r="M223" s="6" t="s">
        <v>25</v>
      </c>
      <c r="N223" s="8" t="s">
        <v>1108</v>
      </c>
      <c r="O223" s="6">
        <f>HYPERLINK("https://docs.wto.org/imrd/directdoc.asp?DDFDocuments/t/G/SPS/NUKR229.DOCX", "https://docs.wto.org/imrd/directdoc.asp?DDFDocuments/t/G/SPS/NUKR229.DOCX")</f>
      </c>
      <c r="P223" s="6">
        <f>HYPERLINK("https://docs.wto.org/imrd/directdoc.asp?DDFDocuments/u/G/SPS/NUKR229.DOCX", "https://docs.wto.org/imrd/directdoc.asp?DDFDocuments/u/G/SPS/NUKR229.DOCX")</f>
      </c>
      <c r="Q223" s="6">
        <f>HYPERLINK("https://docs.wto.org/imrd/directdoc.asp?DDFDocuments/v/G/SPS/NUKR229.DOCX", "https://docs.wto.org/imrd/directdoc.asp?DDFDocuments/v/G/SPS/NUKR229.DOCX")</f>
      </c>
    </row>
    <row r="224">
      <c r="A224" s="6" t="s">
        <v>160</v>
      </c>
      <c r="B224" s="7">
        <v>45534</v>
      </c>
      <c r="C224" s="6">
        <f>HYPERLINK("https://eping.wto.org/en/Search?viewData= G/TBT/N/USA/2096/Add.1/Corr.1"," G/TBT/N/USA/2096/Add.1/Corr.1")</f>
      </c>
      <c r="D224" s="8" t="s">
        <v>1109</v>
      </c>
      <c r="E224" s="8" t="s">
        <v>1110</v>
      </c>
      <c r="F224" s="8" t="s">
        <v>1111</v>
      </c>
      <c r="G224" s="6" t="s">
        <v>40</v>
      </c>
      <c r="H224" s="6" t="s">
        <v>1112</v>
      </c>
      <c r="I224" s="6" t="s">
        <v>1113</v>
      </c>
      <c r="J224" s="6" t="s">
        <v>40</v>
      </c>
      <c r="K224" s="6"/>
      <c r="L224" s="7" t="s">
        <v>40</v>
      </c>
      <c r="M224" s="6" t="s">
        <v>224</v>
      </c>
      <c r="N224" s="8" t="s">
        <v>1114</v>
      </c>
      <c r="O224" s="6">
        <f>HYPERLINK("https://docs.wto.org/imrd/directdoc.asp?DDFDocuments/t/G/TBTN24/USA2096A1C1.DOCX", "https://docs.wto.org/imrd/directdoc.asp?DDFDocuments/t/G/TBTN24/USA2096A1C1.DOCX")</f>
      </c>
      <c r="P224" s="6">
        <f>HYPERLINK("https://docs.wto.org/imrd/directdoc.asp?DDFDocuments/u/G/TBTN24/USA2096A1C1.DOCX", "https://docs.wto.org/imrd/directdoc.asp?DDFDocuments/u/G/TBTN24/USA2096A1C1.DOCX")</f>
      </c>
      <c r="Q224" s="6">
        <f>HYPERLINK("https://docs.wto.org/imrd/directdoc.asp?DDFDocuments/v/G/TBTN24/USA2096A1C1.DOCX", "https://docs.wto.org/imrd/directdoc.asp?DDFDocuments/v/G/TBTN24/USA2096A1C1.DOCX")</f>
      </c>
    </row>
    <row r="225">
      <c r="A225" s="6" t="s">
        <v>115</v>
      </c>
      <c r="B225" s="7">
        <v>45534</v>
      </c>
      <c r="C225" s="6">
        <f>HYPERLINK("https://eping.wto.org/en/Search?viewData= G/TBT/N/BRA/1508/Add.1"," G/TBT/N/BRA/1508/Add.1")</f>
      </c>
      <c r="D225" s="8" t="s">
        <v>1115</v>
      </c>
      <c r="E225" s="8" t="s">
        <v>1116</v>
      </c>
      <c r="F225" s="8" t="s">
        <v>1117</v>
      </c>
      <c r="G225" s="6" t="s">
        <v>1118</v>
      </c>
      <c r="H225" s="6" t="s">
        <v>208</v>
      </c>
      <c r="I225" s="6" t="s">
        <v>147</v>
      </c>
      <c r="J225" s="6" t="s">
        <v>154</v>
      </c>
      <c r="K225" s="6"/>
      <c r="L225" s="7" t="s">
        <v>40</v>
      </c>
      <c r="M225" s="6" t="s">
        <v>76</v>
      </c>
      <c r="N225" s="6"/>
      <c r="O225" s="6">
        <f>HYPERLINK("https://docs.wto.org/imrd/directdoc.asp?DDFDocuments/t/G/TBTN23/BRA1508A1.DOCX", "https://docs.wto.org/imrd/directdoc.asp?DDFDocuments/t/G/TBTN23/BRA1508A1.DOCX")</f>
      </c>
      <c r="P225" s="6">
        <f>HYPERLINK("https://docs.wto.org/imrd/directdoc.asp?DDFDocuments/u/G/TBTN23/BRA1508A1.DOCX", "https://docs.wto.org/imrd/directdoc.asp?DDFDocuments/u/G/TBTN23/BRA1508A1.DOCX")</f>
      </c>
      <c r="Q225" s="6">
        <f>HYPERLINK("https://docs.wto.org/imrd/directdoc.asp?DDFDocuments/v/G/TBTN23/BRA1508A1.DOCX", "https://docs.wto.org/imrd/directdoc.asp?DDFDocuments/v/G/TBTN23/BRA1508A1.DOCX")</f>
      </c>
    </row>
    <row r="226">
      <c r="A226" s="6" t="s">
        <v>419</v>
      </c>
      <c r="B226" s="7">
        <v>45534</v>
      </c>
      <c r="C226" s="6">
        <f>HYPERLINK("https://eping.wto.org/en/Search?viewData= G/TBT/N/JPN/807/Add.1"," G/TBT/N/JPN/807/Add.1")</f>
      </c>
      <c r="D226" s="8" t="s">
        <v>1119</v>
      </c>
      <c r="E226" s="8" t="s">
        <v>1120</v>
      </c>
      <c r="F226" s="8" t="s">
        <v>1121</v>
      </c>
      <c r="G226" s="6" t="s">
        <v>40</v>
      </c>
      <c r="H226" s="6" t="s">
        <v>1122</v>
      </c>
      <c r="I226" s="6" t="s">
        <v>191</v>
      </c>
      <c r="J226" s="6" t="s">
        <v>40</v>
      </c>
      <c r="K226" s="6"/>
      <c r="L226" s="7" t="s">
        <v>40</v>
      </c>
      <c r="M226" s="6" t="s">
        <v>76</v>
      </c>
      <c r="N226" s="8" t="s">
        <v>1123</v>
      </c>
      <c r="O226" s="6">
        <f>HYPERLINK("https://docs.wto.org/imrd/directdoc.asp?DDFDocuments/t/G/TBTN24/JPN807A1.DOCX", "https://docs.wto.org/imrd/directdoc.asp?DDFDocuments/t/G/TBTN24/JPN807A1.DOCX")</f>
      </c>
      <c r="P226" s="6">
        <f>HYPERLINK("https://docs.wto.org/imrd/directdoc.asp?DDFDocuments/u/G/TBTN24/JPN807A1.DOCX", "https://docs.wto.org/imrd/directdoc.asp?DDFDocuments/u/G/TBTN24/JPN807A1.DOCX")</f>
      </c>
      <c r="Q226" s="6">
        <f>HYPERLINK("https://docs.wto.org/imrd/directdoc.asp?DDFDocuments/v/G/TBTN24/JPN807A1.DOCX", "https://docs.wto.org/imrd/directdoc.asp?DDFDocuments/v/G/TBTN24/JPN807A1.DOCX")</f>
      </c>
    </row>
    <row r="227">
      <c r="A227" s="6" t="s">
        <v>412</v>
      </c>
      <c r="B227" s="7">
        <v>45534</v>
      </c>
      <c r="C227" s="6">
        <f>HYPERLINK("https://eping.wto.org/en/Search?viewData= G/SPS/N/COL/368"," G/SPS/N/COL/368")</f>
      </c>
      <c r="D227" s="8" t="s">
        <v>1124</v>
      </c>
      <c r="E227" s="8" t="s">
        <v>1125</v>
      </c>
      <c r="F227" s="8" t="s">
        <v>1126</v>
      </c>
      <c r="G227" s="6" t="s">
        <v>1127</v>
      </c>
      <c r="H227" s="6" t="s">
        <v>40</v>
      </c>
      <c r="I227" s="6" t="s">
        <v>184</v>
      </c>
      <c r="J227" s="6" t="s">
        <v>1075</v>
      </c>
      <c r="K227" s="6" t="s">
        <v>40</v>
      </c>
      <c r="L227" s="7">
        <v>45594</v>
      </c>
      <c r="M227" s="6" t="s">
        <v>25</v>
      </c>
      <c r="N227" s="8" t="s">
        <v>1128</v>
      </c>
      <c r="O227" s="6">
        <f>HYPERLINK("https://docs.wto.org/imrd/directdoc.asp?DDFDocuments/t/G/SPS/NCOL368.DOCX", "https://docs.wto.org/imrd/directdoc.asp?DDFDocuments/t/G/SPS/NCOL368.DOCX")</f>
      </c>
      <c r="P227" s="6">
        <f>HYPERLINK("https://docs.wto.org/imrd/directdoc.asp?DDFDocuments/u/G/SPS/NCOL368.DOCX", "https://docs.wto.org/imrd/directdoc.asp?DDFDocuments/u/G/SPS/NCOL368.DOCX")</f>
      </c>
      <c r="Q227" s="6">
        <f>HYPERLINK("https://docs.wto.org/imrd/directdoc.asp?DDFDocuments/v/G/SPS/NCOL368.DOCX", "https://docs.wto.org/imrd/directdoc.asp?DDFDocuments/v/G/SPS/NCOL368.DOCX")</f>
      </c>
    </row>
    <row r="228">
      <c r="A228" s="6" t="s">
        <v>198</v>
      </c>
      <c r="B228" s="7">
        <v>45534</v>
      </c>
      <c r="C228" s="6">
        <f>HYPERLINK("https://eping.wto.org/en/Search?viewData= G/TBT/N/CHL/700"," G/TBT/N/CHL/700")</f>
      </c>
      <c r="D228" s="8" t="s">
        <v>1129</v>
      </c>
      <c r="E228" s="8" t="s">
        <v>1130</v>
      </c>
      <c r="F228" s="8" t="s">
        <v>1131</v>
      </c>
      <c r="G228" s="6" t="s">
        <v>1132</v>
      </c>
      <c r="H228" s="6" t="s">
        <v>1133</v>
      </c>
      <c r="I228" s="6" t="s">
        <v>147</v>
      </c>
      <c r="J228" s="6" t="s">
        <v>40</v>
      </c>
      <c r="K228" s="6"/>
      <c r="L228" s="7">
        <v>45594</v>
      </c>
      <c r="M228" s="6" t="s">
        <v>25</v>
      </c>
      <c r="N228" s="8" t="s">
        <v>1134</v>
      </c>
      <c r="O228" s="6">
        <f>HYPERLINK("https://docs.wto.org/imrd/directdoc.asp?DDFDocuments/t/G/TBTN24/CHL700.DOCX", "https://docs.wto.org/imrd/directdoc.asp?DDFDocuments/t/G/TBTN24/CHL700.DOCX")</f>
      </c>
      <c r="P228" s="6">
        <f>HYPERLINK("https://docs.wto.org/imrd/directdoc.asp?DDFDocuments/u/G/TBTN24/CHL700.DOCX", "https://docs.wto.org/imrd/directdoc.asp?DDFDocuments/u/G/TBTN24/CHL700.DOCX")</f>
      </c>
      <c r="Q228" s="6">
        <f>HYPERLINK("https://docs.wto.org/imrd/directdoc.asp?DDFDocuments/v/G/TBTN24/CHL700.DOCX", "https://docs.wto.org/imrd/directdoc.asp?DDFDocuments/v/G/TBTN24/CHL700.DOCX")</f>
      </c>
    </row>
    <row r="229">
      <c r="A229" s="6" t="s">
        <v>412</v>
      </c>
      <c r="B229" s="7">
        <v>45533</v>
      </c>
      <c r="C229" s="6">
        <f>HYPERLINK("https://eping.wto.org/en/Search?viewData= G/SPS/N/COL/358/Add.1"," G/SPS/N/COL/358/Add.1")</f>
      </c>
      <c r="D229" s="8" t="s">
        <v>1135</v>
      </c>
      <c r="E229" s="8" t="s">
        <v>1135</v>
      </c>
      <c r="F229" s="8" t="s">
        <v>1136</v>
      </c>
      <c r="G229" s="6" t="s">
        <v>1137</v>
      </c>
      <c r="H229" s="6" t="s">
        <v>40</v>
      </c>
      <c r="I229" s="6" t="s">
        <v>369</v>
      </c>
      <c r="J229" s="6" t="s">
        <v>1138</v>
      </c>
      <c r="K229" s="6"/>
      <c r="L229" s="7" t="s">
        <v>40</v>
      </c>
      <c r="M229" s="6" t="s">
        <v>76</v>
      </c>
      <c r="N229" s="8" t="s">
        <v>1139</v>
      </c>
      <c r="O229" s="6">
        <f>HYPERLINK("https://docs.wto.org/imrd/directdoc.asp?DDFDocuments/t/G/SPS/NCOL358A1.DOCX", "https://docs.wto.org/imrd/directdoc.asp?DDFDocuments/t/G/SPS/NCOL358A1.DOCX")</f>
      </c>
      <c r="P229" s="6">
        <f>HYPERLINK("https://docs.wto.org/imrd/directdoc.asp?DDFDocuments/u/G/SPS/NCOL358A1.DOCX", "https://docs.wto.org/imrd/directdoc.asp?DDFDocuments/u/G/SPS/NCOL358A1.DOCX")</f>
      </c>
      <c r="Q229" s="6">
        <f>HYPERLINK("https://docs.wto.org/imrd/directdoc.asp?DDFDocuments/v/G/SPS/NCOL358A1.DOCX", "https://docs.wto.org/imrd/directdoc.asp?DDFDocuments/v/G/SPS/NCOL358A1.DOCX")</f>
      </c>
    </row>
    <row r="230">
      <c r="A230" s="6" t="s">
        <v>412</v>
      </c>
      <c r="B230" s="7">
        <v>45533</v>
      </c>
      <c r="C230" s="6">
        <f>HYPERLINK("https://eping.wto.org/en/Search?viewData= G/SPS/N/COL/359/Add.1"," G/SPS/N/COL/359/Add.1")</f>
      </c>
      <c r="D230" s="8" t="s">
        <v>1140</v>
      </c>
      <c r="E230" s="8" t="s">
        <v>1140</v>
      </c>
      <c r="F230" s="8" t="s">
        <v>1141</v>
      </c>
      <c r="G230" s="6" t="s">
        <v>1142</v>
      </c>
      <c r="H230" s="6" t="s">
        <v>40</v>
      </c>
      <c r="I230" s="6" t="s">
        <v>353</v>
      </c>
      <c r="J230" s="6" t="s">
        <v>1143</v>
      </c>
      <c r="K230" s="6"/>
      <c r="L230" s="7" t="s">
        <v>40</v>
      </c>
      <c r="M230" s="6" t="s">
        <v>76</v>
      </c>
      <c r="N230" s="8" t="s">
        <v>1144</v>
      </c>
      <c r="O230" s="6">
        <f>HYPERLINK("https://docs.wto.org/imrd/directdoc.asp?DDFDocuments/t/G/SPS/NCOL359A1.DOCX", "https://docs.wto.org/imrd/directdoc.asp?DDFDocuments/t/G/SPS/NCOL359A1.DOCX")</f>
      </c>
      <c r="P230" s="6">
        <f>HYPERLINK("https://docs.wto.org/imrd/directdoc.asp?DDFDocuments/u/G/SPS/NCOL359A1.DOCX", "https://docs.wto.org/imrd/directdoc.asp?DDFDocuments/u/G/SPS/NCOL359A1.DOCX")</f>
      </c>
      <c r="Q230" s="6">
        <f>HYPERLINK("https://docs.wto.org/imrd/directdoc.asp?DDFDocuments/v/G/SPS/NCOL359A1.DOCX", "https://docs.wto.org/imrd/directdoc.asp?DDFDocuments/v/G/SPS/NCOL359A1.DOCX")</f>
      </c>
    </row>
    <row r="231">
      <c r="A231" s="6" t="s">
        <v>180</v>
      </c>
      <c r="B231" s="7">
        <v>45533</v>
      </c>
      <c r="C231" s="6">
        <f>HYPERLINK("https://eping.wto.org/en/Search?viewData= G/TBT/N/CRI/157/Add.3"," G/TBT/N/CRI/157/Add.3")</f>
      </c>
      <c r="D231" s="8" t="s">
        <v>1145</v>
      </c>
      <c r="E231" s="8" t="s">
        <v>1146</v>
      </c>
      <c r="F231" s="8" t="s">
        <v>1147</v>
      </c>
      <c r="G231" s="6" t="s">
        <v>40</v>
      </c>
      <c r="H231" s="6" t="s">
        <v>1148</v>
      </c>
      <c r="I231" s="6" t="s">
        <v>462</v>
      </c>
      <c r="J231" s="6" t="s">
        <v>40</v>
      </c>
      <c r="K231" s="6"/>
      <c r="L231" s="7" t="s">
        <v>40</v>
      </c>
      <c r="M231" s="6" t="s">
        <v>76</v>
      </c>
      <c r="N231" s="8" t="s">
        <v>1149</v>
      </c>
      <c r="O231" s="6">
        <f>HYPERLINK("https://docs.wto.org/imrd/directdoc.asp?DDFDocuments/t/G/TBTN16/CRI157A3.DOCX", "https://docs.wto.org/imrd/directdoc.asp?DDFDocuments/t/G/TBTN16/CRI157A3.DOCX")</f>
      </c>
      <c r="P231" s="6">
        <f>HYPERLINK("https://docs.wto.org/imrd/directdoc.asp?DDFDocuments/u/G/TBTN16/CRI157A3.DOCX", "https://docs.wto.org/imrd/directdoc.asp?DDFDocuments/u/G/TBTN16/CRI157A3.DOCX")</f>
      </c>
      <c r="Q231" s="6">
        <f>HYPERLINK("https://docs.wto.org/imrd/directdoc.asp?DDFDocuments/v/G/TBTN16/CRI157A3.DOCX", "https://docs.wto.org/imrd/directdoc.asp?DDFDocuments/v/G/TBTN16/CRI157A3.DOCX")</f>
      </c>
    </row>
    <row r="232">
      <c r="A232" s="6" t="s">
        <v>167</v>
      </c>
      <c r="B232" s="7">
        <v>45533</v>
      </c>
      <c r="C232" s="6">
        <f>HYPERLINK("https://eping.wto.org/en/Search?viewData= G/TBT/N/TUR/206/Add.1"," G/TBT/N/TUR/206/Add.1")</f>
      </c>
      <c r="D232" s="8" t="s">
        <v>1150</v>
      </c>
      <c r="E232" s="8" t="s">
        <v>1151</v>
      </c>
      <c r="F232" s="8" t="s">
        <v>1152</v>
      </c>
      <c r="G232" s="6" t="s">
        <v>40</v>
      </c>
      <c r="H232" s="6" t="s">
        <v>1153</v>
      </c>
      <c r="I232" s="6" t="s">
        <v>142</v>
      </c>
      <c r="J232" s="6" t="s">
        <v>1154</v>
      </c>
      <c r="K232" s="6"/>
      <c r="L232" s="7" t="s">
        <v>40</v>
      </c>
      <c r="M232" s="6" t="s">
        <v>76</v>
      </c>
      <c r="N232" s="6"/>
      <c r="O232" s="6">
        <f>HYPERLINK("https://docs.wto.org/imrd/directdoc.asp?DDFDocuments/t/G/TBTN23/TUR206A1.DOCX", "https://docs.wto.org/imrd/directdoc.asp?DDFDocuments/t/G/TBTN23/TUR206A1.DOCX")</f>
      </c>
      <c r="P232" s="6">
        <f>HYPERLINK("https://docs.wto.org/imrd/directdoc.asp?DDFDocuments/u/G/TBTN23/TUR206A1.DOCX", "https://docs.wto.org/imrd/directdoc.asp?DDFDocuments/u/G/TBTN23/TUR206A1.DOCX")</f>
      </c>
      <c r="Q232" s="6">
        <f>HYPERLINK("https://docs.wto.org/imrd/directdoc.asp?DDFDocuments/v/G/TBTN23/TUR206A1.DOCX", "https://docs.wto.org/imrd/directdoc.asp?DDFDocuments/v/G/TBTN23/TUR206A1.DOCX")</f>
      </c>
    </row>
    <row r="233">
      <c r="A233" s="6" t="s">
        <v>180</v>
      </c>
      <c r="B233" s="7">
        <v>45533</v>
      </c>
      <c r="C233" s="6">
        <f>HYPERLINK("https://eping.wto.org/en/Search?viewData= G/TBT/N/CRI/189/Add.23"," G/TBT/N/CRI/189/Add.23")</f>
      </c>
      <c r="D233" s="8" t="s">
        <v>1155</v>
      </c>
      <c r="E233" s="8" t="s">
        <v>1156</v>
      </c>
      <c r="F233" s="8" t="s">
        <v>1157</v>
      </c>
      <c r="G233" s="6" t="s">
        <v>1158</v>
      </c>
      <c r="H233" s="6" t="s">
        <v>1159</v>
      </c>
      <c r="I233" s="6" t="s">
        <v>337</v>
      </c>
      <c r="J233" s="6" t="s">
        <v>40</v>
      </c>
      <c r="K233" s="6"/>
      <c r="L233" s="7" t="s">
        <v>40</v>
      </c>
      <c r="M233" s="6" t="s">
        <v>76</v>
      </c>
      <c r="N233" s="8" t="s">
        <v>1160</v>
      </c>
      <c r="O233" s="6">
        <f>HYPERLINK("https://docs.wto.org/imrd/directdoc.asp?DDFDocuments/t/G/TBTN20/CRI18923.DOCX", "https://docs.wto.org/imrd/directdoc.asp?DDFDocuments/t/G/TBTN20/CRI18923.DOCX")</f>
      </c>
      <c r="P233" s="6">
        <f>HYPERLINK("https://docs.wto.org/imrd/directdoc.asp?DDFDocuments/u/G/TBTN20/CRI18923.DOCX", "https://docs.wto.org/imrd/directdoc.asp?DDFDocuments/u/G/TBTN20/CRI18923.DOCX")</f>
      </c>
      <c r="Q233" s="6">
        <f>HYPERLINK("https://docs.wto.org/imrd/directdoc.asp?DDFDocuments/v/G/TBTN20/CRI18923.DOCX", "https://docs.wto.org/imrd/directdoc.asp?DDFDocuments/v/G/TBTN20/CRI18923.DOCX")</f>
      </c>
    </row>
    <row r="234">
      <c r="A234" s="6" t="s">
        <v>373</v>
      </c>
      <c r="B234" s="7">
        <v>45533</v>
      </c>
      <c r="C234" s="6">
        <f>HYPERLINK("https://eping.wto.org/en/Search?viewData= G/TBT/N/ISR/1356"," G/TBT/N/ISR/1356")</f>
      </c>
      <c r="D234" s="8" t="s">
        <v>1161</v>
      </c>
      <c r="E234" s="8" t="s">
        <v>1162</v>
      </c>
      <c r="F234" s="8" t="s">
        <v>1163</v>
      </c>
      <c r="G234" s="6" t="s">
        <v>1164</v>
      </c>
      <c r="H234" s="6" t="s">
        <v>1165</v>
      </c>
      <c r="I234" s="6" t="s">
        <v>1166</v>
      </c>
      <c r="J234" s="6" t="s">
        <v>40</v>
      </c>
      <c r="K234" s="6"/>
      <c r="L234" s="7">
        <v>45593</v>
      </c>
      <c r="M234" s="6" t="s">
        <v>25</v>
      </c>
      <c r="N234" s="8" t="s">
        <v>1167</v>
      </c>
      <c r="O234" s="6">
        <f>HYPERLINK("https://docs.wto.org/imrd/directdoc.asp?DDFDocuments/t/G/TBTN24/ISR1356.DOCX", "https://docs.wto.org/imrd/directdoc.asp?DDFDocuments/t/G/TBTN24/ISR1356.DOCX")</f>
      </c>
      <c r="P234" s="6">
        <f>HYPERLINK("https://docs.wto.org/imrd/directdoc.asp?DDFDocuments/u/G/TBTN24/ISR1356.DOCX", "https://docs.wto.org/imrd/directdoc.asp?DDFDocuments/u/G/TBTN24/ISR1356.DOCX")</f>
      </c>
      <c r="Q234" s="6">
        <f>HYPERLINK("https://docs.wto.org/imrd/directdoc.asp?DDFDocuments/v/G/TBTN24/ISR1356.DOCX", "https://docs.wto.org/imrd/directdoc.asp?DDFDocuments/v/G/TBTN24/ISR1356.DOCX")</f>
      </c>
    </row>
    <row r="235">
      <c r="A235" s="6" t="s">
        <v>412</v>
      </c>
      <c r="B235" s="7">
        <v>45533</v>
      </c>
      <c r="C235" s="6">
        <f>HYPERLINK("https://eping.wto.org/en/Search?viewData= G/SPS/N/COL/356/Add.1"," G/SPS/N/COL/356/Add.1")</f>
      </c>
      <c r="D235" s="8" t="s">
        <v>1168</v>
      </c>
      <c r="E235" s="8" t="s">
        <v>1168</v>
      </c>
      <c r="F235" s="8" t="s">
        <v>1169</v>
      </c>
      <c r="G235" s="6" t="s">
        <v>1170</v>
      </c>
      <c r="H235" s="6" t="s">
        <v>40</v>
      </c>
      <c r="I235" s="6" t="s">
        <v>369</v>
      </c>
      <c r="J235" s="6" t="s">
        <v>1171</v>
      </c>
      <c r="K235" s="6"/>
      <c r="L235" s="7" t="s">
        <v>40</v>
      </c>
      <c r="M235" s="6" t="s">
        <v>76</v>
      </c>
      <c r="N235" s="8" t="s">
        <v>1172</v>
      </c>
      <c r="O235" s="6">
        <f>HYPERLINK("https://docs.wto.org/imrd/directdoc.asp?DDFDocuments/t/G/SPS/NCOL356A1.DOCX", "https://docs.wto.org/imrd/directdoc.asp?DDFDocuments/t/G/SPS/NCOL356A1.DOCX")</f>
      </c>
      <c r="P235" s="6">
        <f>HYPERLINK("https://docs.wto.org/imrd/directdoc.asp?DDFDocuments/u/G/SPS/NCOL356A1.DOCX", "https://docs.wto.org/imrd/directdoc.asp?DDFDocuments/u/G/SPS/NCOL356A1.DOCX")</f>
      </c>
      <c r="Q235" s="6">
        <f>HYPERLINK("https://docs.wto.org/imrd/directdoc.asp?DDFDocuments/v/G/SPS/NCOL356A1.DOCX", "https://docs.wto.org/imrd/directdoc.asp?DDFDocuments/v/G/SPS/NCOL356A1.DOCX")</f>
      </c>
    </row>
    <row r="236">
      <c r="A236" s="6" t="s">
        <v>180</v>
      </c>
      <c r="B236" s="7">
        <v>45533</v>
      </c>
      <c r="C236" s="6">
        <f>HYPERLINK("https://eping.wto.org/en/Search?viewData= G/TBT/N/CRI/189/Add.21"," G/TBT/N/CRI/189/Add.21")</f>
      </c>
      <c r="D236" s="8" t="s">
        <v>1155</v>
      </c>
      <c r="E236" s="8" t="s">
        <v>1173</v>
      </c>
      <c r="F236" s="8" t="s">
        <v>1157</v>
      </c>
      <c r="G236" s="6" t="s">
        <v>1158</v>
      </c>
      <c r="H236" s="6" t="s">
        <v>1159</v>
      </c>
      <c r="I236" s="6" t="s">
        <v>337</v>
      </c>
      <c r="J236" s="6" t="s">
        <v>40</v>
      </c>
      <c r="K236" s="6"/>
      <c r="L236" s="7" t="s">
        <v>40</v>
      </c>
      <c r="M236" s="6" t="s">
        <v>76</v>
      </c>
      <c r="N236" s="8" t="s">
        <v>1174</v>
      </c>
      <c r="O236" s="6">
        <f>HYPERLINK("https://docs.wto.org/imrd/directdoc.asp?DDFDocuments/t/G/TBTN20/CRI189A21.DOCX", "https://docs.wto.org/imrd/directdoc.asp?DDFDocuments/t/G/TBTN20/CRI189A21.DOCX")</f>
      </c>
      <c r="P236" s="6">
        <f>HYPERLINK("https://docs.wto.org/imrd/directdoc.asp?DDFDocuments/u/G/TBTN20/CRI189A21.DOCX", "https://docs.wto.org/imrd/directdoc.asp?DDFDocuments/u/G/TBTN20/CRI189A21.DOCX")</f>
      </c>
      <c r="Q236" s="6">
        <f>HYPERLINK("https://docs.wto.org/imrd/directdoc.asp?DDFDocuments/v/G/TBTN20/CRI189A21.DOCX", "https://docs.wto.org/imrd/directdoc.asp?DDFDocuments/v/G/TBTN20/CRI189A21.DOCX")</f>
      </c>
    </row>
    <row r="237">
      <c r="A237" s="6" t="s">
        <v>401</v>
      </c>
      <c r="B237" s="7">
        <v>45533</v>
      </c>
      <c r="C237" s="6">
        <f>HYPERLINK("https://eping.wto.org/en/Search?viewData= G/SPS/N/KOR/807"," G/SPS/N/KOR/807")</f>
      </c>
      <c r="D237" s="8" t="s">
        <v>1078</v>
      </c>
      <c r="E237" s="8" t="s">
        <v>1175</v>
      </c>
      <c r="F237" s="8" t="s">
        <v>518</v>
      </c>
      <c r="G237" s="6" t="s">
        <v>40</v>
      </c>
      <c r="H237" s="6" t="s">
        <v>40</v>
      </c>
      <c r="I237" s="6" t="s">
        <v>38</v>
      </c>
      <c r="J237" s="6" t="s">
        <v>103</v>
      </c>
      <c r="K237" s="6" t="s">
        <v>40</v>
      </c>
      <c r="L237" s="7">
        <v>45593</v>
      </c>
      <c r="M237" s="6" t="s">
        <v>25</v>
      </c>
      <c r="N237" s="8" t="s">
        <v>1176</v>
      </c>
      <c r="O237" s="6">
        <f>HYPERLINK("https://docs.wto.org/imrd/directdoc.asp?DDFDocuments/t/G/SPS/NKOR807.DOCX", "https://docs.wto.org/imrd/directdoc.asp?DDFDocuments/t/G/SPS/NKOR807.DOCX")</f>
      </c>
      <c r="P237" s="6">
        <f>HYPERLINK("https://docs.wto.org/imrd/directdoc.asp?DDFDocuments/u/G/SPS/NKOR807.DOCX", "https://docs.wto.org/imrd/directdoc.asp?DDFDocuments/u/G/SPS/NKOR807.DOCX")</f>
      </c>
      <c r="Q237" s="6">
        <f>HYPERLINK("https://docs.wto.org/imrd/directdoc.asp?DDFDocuments/v/G/SPS/NKOR807.DOCX", "https://docs.wto.org/imrd/directdoc.asp?DDFDocuments/v/G/SPS/NKOR807.DOCX")</f>
      </c>
    </row>
    <row r="238">
      <c r="A238" s="6" t="s">
        <v>160</v>
      </c>
      <c r="B238" s="7">
        <v>45533</v>
      </c>
      <c r="C238" s="6">
        <f>HYPERLINK("https://eping.wto.org/en/Search?viewData= G/SPS/N/USA/3467/Corr.1"," G/SPS/N/USA/3467/Corr.1")</f>
      </c>
      <c r="D238" s="8" t="s">
        <v>1177</v>
      </c>
      <c r="E238" s="8" t="s">
        <v>1178</v>
      </c>
      <c r="F238" s="8" t="s">
        <v>951</v>
      </c>
      <c r="G238" s="6" t="s">
        <v>40</v>
      </c>
      <c r="H238" s="6" t="s">
        <v>1179</v>
      </c>
      <c r="I238" s="6" t="s">
        <v>38</v>
      </c>
      <c r="J238" s="6" t="s">
        <v>1180</v>
      </c>
      <c r="K238" s="6"/>
      <c r="L238" s="7" t="s">
        <v>40</v>
      </c>
      <c r="M238" s="6" t="s">
        <v>224</v>
      </c>
      <c r="N238" s="6"/>
      <c r="O238" s="6">
        <f>HYPERLINK("https://docs.wto.org/imrd/directdoc.asp?DDFDocuments/t/G/SPS/NUSA3467C1.DOCX", "https://docs.wto.org/imrd/directdoc.asp?DDFDocuments/t/G/SPS/NUSA3467C1.DOCX")</f>
      </c>
      <c r="P238" s="6">
        <f>HYPERLINK("https://docs.wto.org/imrd/directdoc.asp?DDFDocuments/u/G/SPS/NUSA3467C1.DOCX", "https://docs.wto.org/imrd/directdoc.asp?DDFDocuments/u/G/SPS/NUSA3467C1.DOCX")</f>
      </c>
      <c r="Q238" s="6">
        <f>HYPERLINK("https://docs.wto.org/imrd/directdoc.asp?DDFDocuments/v/G/SPS/NUSA3467C1.DOCX", "https://docs.wto.org/imrd/directdoc.asp?DDFDocuments/v/G/SPS/NUSA3467C1.DOCX")</f>
      </c>
    </row>
    <row r="239">
      <c r="A239" s="6" t="s">
        <v>160</v>
      </c>
      <c r="B239" s="7">
        <v>45533</v>
      </c>
      <c r="C239" s="6">
        <f>HYPERLINK("https://eping.wto.org/en/Search?viewData= G/TBT/N/USA/1622/Rev.1"," G/TBT/N/USA/1622/Rev.1")</f>
      </c>
      <c r="D239" s="8" t="s">
        <v>1181</v>
      </c>
      <c r="E239" s="8" t="s">
        <v>1182</v>
      </c>
      <c r="F239" s="8" t="s">
        <v>1183</v>
      </c>
      <c r="G239" s="6" t="s">
        <v>40</v>
      </c>
      <c r="H239" s="6" t="s">
        <v>1184</v>
      </c>
      <c r="I239" s="6" t="s">
        <v>1185</v>
      </c>
      <c r="J239" s="6" t="s">
        <v>40</v>
      </c>
      <c r="K239" s="6"/>
      <c r="L239" s="7">
        <v>45580</v>
      </c>
      <c r="M239" s="6" t="s">
        <v>214</v>
      </c>
      <c r="N239" s="8" t="s">
        <v>1186</v>
      </c>
      <c r="O239" s="6">
        <f>HYPERLINK("https://docs.wto.org/imrd/directdoc.asp?DDFDocuments/t/G/TBTN20/USA1622R1.DOCX", "https://docs.wto.org/imrd/directdoc.asp?DDFDocuments/t/G/TBTN20/USA1622R1.DOCX")</f>
      </c>
      <c r="P239" s="6">
        <f>HYPERLINK("https://docs.wto.org/imrd/directdoc.asp?DDFDocuments/u/G/TBTN20/USA1622R1.DOCX", "https://docs.wto.org/imrd/directdoc.asp?DDFDocuments/u/G/TBTN20/USA1622R1.DOCX")</f>
      </c>
      <c r="Q239" s="6">
        <f>HYPERLINK("https://docs.wto.org/imrd/directdoc.asp?DDFDocuments/v/G/TBTN20/USA1622R1.DOCX", "https://docs.wto.org/imrd/directdoc.asp?DDFDocuments/v/G/TBTN20/USA1622R1.DOCX")</f>
      </c>
    </row>
    <row r="240">
      <c r="A240" s="6" t="s">
        <v>401</v>
      </c>
      <c r="B240" s="7">
        <v>45533</v>
      </c>
      <c r="C240" s="6">
        <f>HYPERLINK("https://eping.wto.org/en/Search?viewData= G/SPS/N/KOR/805"," G/SPS/N/KOR/805")</f>
      </c>
      <c r="D240" s="8" t="s">
        <v>1187</v>
      </c>
      <c r="E240" s="8" t="s">
        <v>1188</v>
      </c>
      <c r="F240" s="8" t="s">
        <v>1189</v>
      </c>
      <c r="G240" s="6" t="s">
        <v>40</v>
      </c>
      <c r="H240" s="6" t="s">
        <v>40</v>
      </c>
      <c r="I240" s="6" t="s">
        <v>38</v>
      </c>
      <c r="J240" s="6" t="s">
        <v>60</v>
      </c>
      <c r="K240" s="6" t="s">
        <v>40</v>
      </c>
      <c r="L240" s="7">
        <v>45593</v>
      </c>
      <c r="M240" s="6" t="s">
        <v>25</v>
      </c>
      <c r="N240" s="8" t="s">
        <v>1190</v>
      </c>
      <c r="O240" s="6">
        <f>HYPERLINK("https://docs.wto.org/imrd/directdoc.asp?DDFDocuments/t/G/SPS/NKOR805.DOCX", "https://docs.wto.org/imrd/directdoc.asp?DDFDocuments/t/G/SPS/NKOR805.DOCX")</f>
      </c>
      <c r="P240" s="6">
        <f>HYPERLINK("https://docs.wto.org/imrd/directdoc.asp?DDFDocuments/u/G/SPS/NKOR805.DOCX", "https://docs.wto.org/imrd/directdoc.asp?DDFDocuments/u/G/SPS/NKOR805.DOCX")</f>
      </c>
      <c r="Q240" s="6">
        <f>HYPERLINK("https://docs.wto.org/imrd/directdoc.asp?DDFDocuments/v/G/SPS/NKOR805.DOCX", "https://docs.wto.org/imrd/directdoc.asp?DDFDocuments/v/G/SPS/NKOR805.DOCX")</f>
      </c>
    </row>
    <row r="241">
      <c r="A241" s="6" t="s">
        <v>160</v>
      </c>
      <c r="B241" s="7">
        <v>45533</v>
      </c>
      <c r="C241" s="6">
        <f>HYPERLINK("https://eping.wto.org/en/Search?viewData= G/TBT/N/USA/2141"," G/TBT/N/USA/2141")</f>
      </c>
      <c r="D241" s="8" t="s">
        <v>1191</v>
      </c>
      <c r="E241" s="8" t="s">
        <v>1192</v>
      </c>
      <c r="F241" s="8" t="s">
        <v>1193</v>
      </c>
      <c r="G241" s="6" t="s">
        <v>40</v>
      </c>
      <c r="H241" s="6" t="s">
        <v>1194</v>
      </c>
      <c r="I241" s="6" t="s">
        <v>147</v>
      </c>
      <c r="J241" s="6" t="s">
        <v>40</v>
      </c>
      <c r="K241" s="6"/>
      <c r="L241" s="7">
        <v>45562</v>
      </c>
      <c r="M241" s="6" t="s">
        <v>25</v>
      </c>
      <c r="N241" s="8" t="s">
        <v>1195</v>
      </c>
      <c r="O241" s="6">
        <f>HYPERLINK("https://docs.wto.org/imrd/directdoc.asp?DDFDocuments/t/G/TBTN24/USA2141.DOCX", "https://docs.wto.org/imrd/directdoc.asp?DDFDocuments/t/G/TBTN24/USA2141.DOCX")</f>
      </c>
      <c r="P241" s="6">
        <f>HYPERLINK("https://docs.wto.org/imrd/directdoc.asp?DDFDocuments/u/G/TBTN24/USA2141.DOCX", "https://docs.wto.org/imrd/directdoc.asp?DDFDocuments/u/G/TBTN24/USA2141.DOCX")</f>
      </c>
      <c r="Q241" s="6">
        <f>HYPERLINK("https://docs.wto.org/imrd/directdoc.asp?DDFDocuments/v/G/TBTN24/USA2141.DOCX", "https://docs.wto.org/imrd/directdoc.asp?DDFDocuments/v/G/TBTN24/USA2141.DOCX")</f>
      </c>
    </row>
    <row r="242">
      <c r="A242" s="6" t="s">
        <v>180</v>
      </c>
      <c r="B242" s="7">
        <v>45533</v>
      </c>
      <c r="C242" s="6">
        <f>HYPERLINK("https://eping.wto.org/en/Search?viewData= G/TBT/N/CRI/189/Add.19"," G/TBT/N/CRI/189/Add.19")</f>
      </c>
      <c r="D242" s="8" t="s">
        <v>1196</v>
      </c>
      <c r="E242" s="8" t="s">
        <v>1197</v>
      </c>
      <c r="F242" s="8" t="s">
        <v>1157</v>
      </c>
      <c r="G242" s="6" t="s">
        <v>1158</v>
      </c>
      <c r="H242" s="6" t="s">
        <v>1159</v>
      </c>
      <c r="I242" s="6" t="s">
        <v>337</v>
      </c>
      <c r="J242" s="6" t="s">
        <v>40</v>
      </c>
      <c r="K242" s="6"/>
      <c r="L242" s="7" t="s">
        <v>40</v>
      </c>
      <c r="M242" s="6" t="s">
        <v>76</v>
      </c>
      <c r="N242" s="8" t="s">
        <v>1198</v>
      </c>
      <c r="O242" s="6">
        <f>HYPERLINK("https://docs.wto.org/imrd/directdoc.asp?DDFDocuments/t/G/TBTN20/CRI189A19.DOCX", "https://docs.wto.org/imrd/directdoc.asp?DDFDocuments/t/G/TBTN20/CRI189A19.DOCX")</f>
      </c>
      <c r="P242" s="6">
        <f>HYPERLINK("https://docs.wto.org/imrd/directdoc.asp?DDFDocuments/u/G/TBTN20/CRI189A19.DOCX", "https://docs.wto.org/imrd/directdoc.asp?DDFDocuments/u/G/TBTN20/CRI189A19.DOCX")</f>
      </c>
      <c r="Q242" s="6">
        <f>HYPERLINK("https://docs.wto.org/imrd/directdoc.asp?DDFDocuments/v/G/TBTN20/CRI189A19.DOCX", "https://docs.wto.org/imrd/directdoc.asp?DDFDocuments/v/G/TBTN20/CRI189A19.DOCX")</f>
      </c>
    </row>
    <row r="243">
      <c r="A243" s="6" t="s">
        <v>198</v>
      </c>
      <c r="B243" s="7">
        <v>45533</v>
      </c>
      <c r="C243" s="6">
        <f>HYPERLINK("https://eping.wto.org/en/Search?viewData= G/TBT/N/CHL/677/Add.2"," G/TBT/N/CHL/677/Add.2")</f>
      </c>
      <c r="D243" s="8" t="s">
        <v>1199</v>
      </c>
      <c r="E243" s="8" t="s">
        <v>1200</v>
      </c>
      <c r="F243" s="8" t="s">
        <v>1201</v>
      </c>
      <c r="G243" s="6" t="s">
        <v>40</v>
      </c>
      <c r="H243" s="6" t="s">
        <v>1202</v>
      </c>
      <c r="I243" s="6" t="s">
        <v>213</v>
      </c>
      <c r="J243" s="6" t="s">
        <v>40</v>
      </c>
      <c r="K243" s="6"/>
      <c r="L243" s="7" t="s">
        <v>40</v>
      </c>
      <c r="M243" s="6" t="s">
        <v>76</v>
      </c>
      <c r="N243" s="8" t="s">
        <v>1203</v>
      </c>
      <c r="O243" s="6">
        <f>HYPERLINK("https://docs.wto.org/imrd/directdoc.asp?DDFDocuments/t/G/TBTN24/CHL677A2.DOCX", "https://docs.wto.org/imrd/directdoc.asp?DDFDocuments/t/G/TBTN24/CHL677A2.DOCX")</f>
      </c>
      <c r="P243" s="6">
        <f>HYPERLINK("https://docs.wto.org/imrd/directdoc.asp?DDFDocuments/u/G/TBTN24/CHL677A2.DOCX", "https://docs.wto.org/imrd/directdoc.asp?DDFDocuments/u/G/TBTN24/CHL677A2.DOCX")</f>
      </c>
      <c r="Q243" s="6">
        <f>HYPERLINK("https://docs.wto.org/imrd/directdoc.asp?DDFDocuments/v/G/TBTN24/CHL677A2.DOCX", "https://docs.wto.org/imrd/directdoc.asp?DDFDocuments/v/G/TBTN24/CHL677A2.DOCX")</f>
      </c>
    </row>
    <row r="244">
      <c r="A244" s="6" t="s">
        <v>160</v>
      </c>
      <c r="B244" s="7">
        <v>45533</v>
      </c>
      <c r="C244" s="6">
        <f>HYPERLINK("https://eping.wto.org/en/Search?viewData= G/SPS/N/USA/3468/Corr.1"," G/SPS/N/USA/3468/Corr.1")</f>
      </c>
      <c r="D244" s="8" t="s">
        <v>1012</v>
      </c>
      <c r="E244" s="8" t="s">
        <v>1204</v>
      </c>
      <c r="F244" s="8" t="s">
        <v>1014</v>
      </c>
      <c r="G244" s="6" t="s">
        <v>40</v>
      </c>
      <c r="H244" s="6" t="s">
        <v>40</v>
      </c>
      <c r="I244" s="6" t="s">
        <v>38</v>
      </c>
      <c r="J244" s="6" t="s">
        <v>1205</v>
      </c>
      <c r="K244" s="6"/>
      <c r="L244" s="7" t="s">
        <v>40</v>
      </c>
      <c r="M244" s="6" t="s">
        <v>224</v>
      </c>
      <c r="N244" s="6"/>
      <c r="O244" s="6">
        <f>HYPERLINK("https://docs.wto.org/imrd/directdoc.asp?DDFDocuments/t/G/SPS/NUSA3468C1.DOCX", "https://docs.wto.org/imrd/directdoc.asp?DDFDocuments/t/G/SPS/NUSA3468C1.DOCX")</f>
      </c>
      <c r="P244" s="6">
        <f>HYPERLINK("https://docs.wto.org/imrd/directdoc.asp?DDFDocuments/u/G/SPS/NUSA3468C1.DOCX", "https://docs.wto.org/imrd/directdoc.asp?DDFDocuments/u/G/SPS/NUSA3468C1.DOCX")</f>
      </c>
      <c r="Q244" s="6">
        <f>HYPERLINK("https://docs.wto.org/imrd/directdoc.asp?DDFDocuments/v/G/SPS/NUSA3468C1.DOCX", "https://docs.wto.org/imrd/directdoc.asp?DDFDocuments/v/G/SPS/NUSA3468C1.DOCX")</f>
      </c>
    </row>
    <row r="245">
      <c r="A245" s="6" t="s">
        <v>160</v>
      </c>
      <c r="B245" s="7">
        <v>45533</v>
      </c>
      <c r="C245" s="6">
        <f>HYPERLINK("https://eping.wto.org/en/Search?viewData= G/TBT/N/USA/858/Rev.1/Add.1"," G/TBT/N/USA/858/Rev.1/Add.1")</f>
      </c>
      <c r="D245" s="8" t="s">
        <v>1206</v>
      </c>
      <c r="E245" s="8" t="s">
        <v>1207</v>
      </c>
      <c r="F245" s="8" t="s">
        <v>1208</v>
      </c>
      <c r="G245" s="6" t="s">
        <v>1209</v>
      </c>
      <c r="H245" s="6" t="s">
        <v>1210</v>
      </c>
      <c r="I245" s="6" t="s">
        <v>165</v>
      </c>
      <c r="J245" s="6" t="s">
        <v>40</v>
      </c>
      <c r="K245" s="6"/>
      <c r="L245" s="7">
        <v>45562</v>
      </c>
      <c r="M245" s="6" t="s">
        <v>76</v>
      </c>
      <c r="N245" s="8" t="s">
        <v>1211</v>
      </c>
      <c r="O245" s="6">
        <f>HYPERLINK("https://docs.wto.org/imrd/directdoc.asp?DDFDocuments/t/G/TBTN13/USA858R1A1.DOCX", "https://docs.wto.org/imrd/directdoc.asp?DDFDocuments/t/G/TBTN13/USA858R1A1.DOCX")</f>
      </c>
      <c r="P245" s="6">
        <f>HYPERLINK("https://docs.wto.org/imrd/directdoc.asp?DDFDocuments/u/G/TBTN13/USA858R1A1.DOCX", "https://docs.wto.org/imrd/directdoc.asp?DDFDocuments/u/G/TBTN13/USA858R1A1.DOCX")</f>
      </c>
      <c r="Q245" s="6">
        <f>HYPERLINK("https://docs.wto.org/imrd/directdoc.asp?DDFDocuments/v/G/TBTN13/USA858R1A1.DOCX", "https://docs.wto.org/imrd/directdoc.asp?DDFDocuments/v/G/TBTN13/USA858R1A1.DOCX")</f>
      </c>
    </row>
    <row r="246">
      <c r="A246" s="6" t="s">
        <v>401</v>
      </c>
      <c r="B246" s="7">
        <v>45533</v>
      </c>
      <c r="C246" s="6">
        <f>HYPERLINK("https://eping.wto.org/en/Search?viewData= G/TBT/N/KOR/1226"," G/TBT/N/KOR/1226")</f>
      </c>
      <c r="D246" s="8" t="s">
        <v>1212</v>
      </c>
      <c r="E246" s="8" t="s">
        <v>1213</v>
      </c>
      <c r="F246" s="8" t="s">
        <v>404</v>
      </c>
      <c r="G246" s="6" t="s">
        <v>40</v>
      </c>
      <c r="H246" s="6" t="s">
        <v>336</v>
      </c>
      <c r="I246" s="6" t="s">
        <v>259</v>
      </c>
      <c r="J246" s="6" t="s">
        <v>178</v>
      </c>
      <c r="K246" s="6"/>
      <c r="L246" s="7">
        <v>45593</v>
      </c>
      <c r="M246" s="6" t="s">
        <v>25</v>
      </c>
      <c r="N246" s="8" t="s">
        <v>1214</v>
      </c>
      <c r="O246" s="6">
        <f>HYPERLINK("https://docs.wto.org/imrd/directdoc.asp?DDFDocuments/t/G/TBTN24/KOR1226.DOCX", "https://docs.wto.org/imrd/directdoc.asp?DDFDocuments/t/G/TBTN24/KOR1226.DOCX")</f>
      </c>
      <c r="P246" s="6">
        <f>HYPERLINK("https://docs.wto.org/imrd/directdoc.asp?DDFDocuments/u/G/TBTN24/KOR1226.DOCX", "https://docs.wto.org/imrd/directdoc.asp?DDFDocuments/u/G/TBTN24/KOR1226.DOCX")</f>
      </c>
      <c r="Q246" s="6">
        <f>HYPERLINK("https://docs.wto.org/imrd/directdoc.asp?DDFDocuments/v/G/TBTN24/KOR1226.DOCX", "https://docs.wto.org/imrd/directdoc.asp?DDFDocuments/v/G/TBTN24/KOR1226.DOCX")</f>
      </c>
    </row>
    <row r="247">
      <c r="A247" s="6" t="s">
        <v>136</v>
      </c>
      <c r="B247" s="7">
        <v>45533</v>
      </c>
      <c r="C247" s="6">
        <f>HYPERLINK("https://eping.wto.org/en/Search?viewData= G/TBT/N/PER/164"," G/TBT/N/PER/164")</f>
      </c>
      <c r="D247" s="8" t="s">
        <v>1215</v>
      </c>
      <c r="E247" s="8" t="s">
        <v>1216</v>
      </c>
      <c r="F247" s="8" t="s">
        <v>1217</v>
      </c>
      <c r="G247" s="6" t="s">
        <v>1218</v>
      </c>
      <c r="H247" s="6" t="s">
        <v>1219</v>
      </c>
      <c r="I247" s="6" t="s">
        <v>1220</v>
      </c>
      <c r="J247" s="6" t="s">
        <v>40</v>
      </c>
      <c r="K247" s="6"/>
      <c r="L247" s="7">
        <v>45593</v>
      </c>
      <c r="M247" s="6" t="s">
        <v>25</v>
      </c>
      <c r="N247" s="8" t="s">
        <v>1221</v>
      </c>
      <c r="O247" s="6">
        <f>HYPERLINK("https://docs.wto.org/imrd/directdoc.asp?DDFDocuments/t/G/TBTN24/PER164.DOCX", "https://docs.wto.org/imrd/directdoc.asp?DDFDocuments/t/G/TBTN24/PER164.DOCX")</f>
      </c>
      <c r="P247" s="6">
        <f>HYPERLINK("https://docs.wto.org/imrd/directdoc.asp?DDFDocuments/u/G/TBTN24/PER164.DOCX", "https://docs.wto.org/imrd/directdoc.asp?DDFDocuments/u/G/TBTN24/PER164.DOCX")</f>
      </c>
      <c r="Q247" s="6">
        <f>HYPERLINK("https://docs.wto.org/imrd/directdoc.asp?DDFDocuments/v/G/TBTN24/PER164.DOCX", "https://docs.wto.org/imrd/directdoc.asp?DDFDocuments/v/G/TBTN24/PER164.DOCX")</f>
      </c>
    </row>
    <row r="248">
      <c r="A248" s="6" t="s">
        <v>180</v>
      </c>
      <c r="B248" s="7">
        <v>45533</v>
      </c>
      <c r="C248" s="6">
        <f>HYPERLINK("https://eping.wto.org/en/Search?viewData= G/TBT/N/CRI/189/Add.22"," G/TBT/N/CRI/189/Add.22")</f>
      </c>
      <c r="D248" s="8" t="s">
        <v>1155</v>
      </c>
      <c r="E248" s="8" t="s">
        <v>1222</v>
      </c>
      <c r="F248" s="8" t="s">
        <v>1157</v>
      </c>
      <c r="G248" s="6" t="s">
        <v>1158</v>
      </c>
      <c r="H248" s="6" t="s">
        <v>1159</v>
      </c>
      <c r="I248" s="6" t="s">
        <v>337</v>
      </c>
      <c r="J248" s="6" t="s">
        <v>40</v>
      </c>
      <c r="K248" s="6"/>
      <c r="L248" s="7" t="s">
        <v>40</v>
      </c>
      <c r="M248" s="6" t="s">
        <v>76</v>
      </c>
      <c r="N248" s="8" t="s">
        <v>1223</v>
      </c>
      <c r="O248" s="6">
        <f>HYPERLINK("https://docs.wto.org/imrd/directdoc.asp?DDFDocuments/t/G/TBTN20/CRI189A22.DOCX", "https://docs.wto.org/imrd/directdoc.asp?DDFDocuments/t/G/TBTN20/CRI189A22.DOCX")</f>
      </c>
      <c r="P248" s="6">
        <f>HYPERLINK("https://docs.wto.org/imrd/directdoc.asp?DDFDocuments/u/G/TBTN20/CRI189A22.DOCX", "https://docs.wto.org/imrd/directdoc.asp?DDFDocuments/u/G/TBTN20/CRI189A22.DOCX")</f>
      </c>
      <c r="Q248" s="6">
        <f>HYPERLINK("https://docs.wto.org/imrd/directdoc.asp?DDFDocuments/v/G/TBTN20/CRI189A22.DOCX", "https://docs.wto.org/imrd/directdoc.asp?DDFDocuments/v/G/TBTN20/CRI189A22.DOCX")</f>
      </c>
    </row>
    <row r="249">
      <c r="A249" s="6" t="s">
        <v>180</v>
      </c>
      <c r="B249" s="7">
        <v>45533</v>
      </c>
      <c r="C249" s="6">
        <f>HYPERLINK("https://eping.wto.org/en/Search?viewData= G/TBT/N/CRI/157/Add.4"," G/TBT/N/CRI/157/Add.4")</f>
      </c>
      <c r="D249" s="8" t="s">
        <v>1224</v>
      </c>
      <c r="E249" s="8" t="s">
        <v>1225</v>
      </c>
      <c r="F249" s="8" t="s">
        <v>1147</v>
      </c>
      <c r="G249" s="6" t="s">
        <v>40</v>
      </c>
      <c r="H249" s="6" t="s">
        <v>1148</v>
      </c>
      <c r="I249" s="6" t="s">
        <v>462</v>
      </c>
      <c r="J249" s="6" t="s">
        <v>40</v>
      </c>
      <c r="K249" s="6"/>
      <c r="L249" s="7" t="s">
        <v>40</v>
      </c>
      <c r="M249" s="6" t="s">
        <v>76</v>
      </c>
      <c r="N249" s="8" t="s">
        <v>1226</v>
      </c>
      <c r="O249" s="6">
        <f>HYPERLINK("https://docs.wto.org/imrd/directdoc.asp?DDFDocuments/t/G/TBTN16/CRI157A4.DOCX", "https://docs.wto.org/imrd/directdoc.asp?DDFDocuments/t/G/TBTN16/CRI157A4.DOCX")</f>
      </c>
      <c r="P249" s="6">
        <f>HYPERLINK("https://docs.wto.org/imrd/directdoc.asp?DDFDocuments/u/G/TBTN16/CRI157A4.DOCX", "https://docs.wto.org/imrd/directdoc.asp?DDFDocuments/u/G/TBTN16/CRI157A4.DOCX")</f>
      </c>
      <c r="Q249" s="6">
        <f>HYPERLINK("https://docs.wto.org/imrd/directdoc.asp?DDFDocuments/v/G/TBTN16/CRI157A4.DOCX", "https://docs.wto.org/imrd/directdoc.asp?DDFDocuments/v/G/TBTN16/CRI157A4.DOCX")</f>
      </c>
    </row>
    <row r="250">
      <c r="A250" s="6" t="s">
        <v>412</v>
      </c>
      <c r="B250" s="7">
        <v>45533</v>
      </c>
      <c r="C250" s="6">
        <f>HYPERLINK("https://eping.wto.org/en/Search?viewData= G/SPS/N/COL/360/Add.1"," G/SPS/N/COL/360/Add.1")</f>
      </c>
      <c r="D250" s="8" t="s">
        <v>1227</v>
      </c>
      <c r="E250" s="8" t="s">
        <v>1227</v>
      </c>
      <c r="F250" s="8" t="s">
        <v>1228</v>
      </c>
      <c r="G250" s="6" t="s">
        <v>1229</v>
      </c>
      <c r="H250" s="6" t="s">
        <v>40</v>
      </c>
      <c r="I250" s="6" t="s">
        <v>369</v>
      </c>
      <c r="J250" s="6" t="s">
        <v>593</v>
      </c>
      <c r="K250" s="6"/>
      <c r="L250" s="7" t="s">
        <v>40</v>
      </c>
      <c r="M250" s="6" t="s">
        <v>76</v>
      </c>
      <c r="N250" s="8" t="s">
        <v>1230</v>
      </c>
      <c r="O250" s="6">
        <f>HYPERLINK("https://docs.wto.org/imrd/directdoc.asp?DDFDocuments/t/G/SPS/NCOL360A1.DOCX", "https://docs.wto.org/imrd/directdoc.asp?DDFDocuments/t/G/SPS/NCOL360A1.DOCX")</f>
      </c>
      <c r="P250" s="6">
        <f>HYPERLINK("https://docs.wto.org/imrd/directdoc.asp?DDFDocuments/u/G/SPS/NCOL360A1.DOCX", "https://docs.wto.org/imrd/directdoc.asp?DDFDocuments/u/G/SPS/NCOL360A1.DOCX")</f>
      </c>
      <c r="Q250" s="6">
        <f>HYPERLINK("https://docs.wto.org/imrd/directdoc.asp?DDFDocuments/v/G/SPS/NCOL360A1.DOCX", "https://docs.wto.org/imrd/directdoc.asp?DDFDocuments/v/G/SPS/NCOL360A1.DOCX")</f>
      </c>
    </row>
    <row r="251">
      <c r="A251" s="6" t="s">
        <v>180</v>
      </c>
      <c r="B251" s="7">
        <v>45533</v>
      </c>
      <c r="C251" s="6">
        <f>HYPERLINK("https://eping.wto.org/en/Search?viewData= G/TBT/N/CRI/189/Add.17"," G/TBT/N/CRI/189/Add.17")</f>
      </c>
      <c r="D251" s="8" t="s">
        <v>1155</v>
      </c>
      <c r="E251" s="8" t="s">
        <v>1231</v>
      </c>
      <c r="F251" s="8" t="s">
        <v>1157</v>
      </c>
      <c r="G251" s="6" t="s">
        <v>1158</v>
      </c>
      <c r="H251" s="6" t="s">
        <v>1159</v>
      </c>
      <c r="I251" s="6" t="s">
        <v>337</v>
      </c>
      <c r="J251" s="6" t="s">
        <v>40</v>
      </c>
      <c r="K251" s="6"/>
      <c r="L251" s="7" t="s">
        <v>40</v>
      </c>
      <c r="M251" s="6" t="s">
        <v>76</v>
      </c>
      <c r="N251" s="8" t="s">
        <v>1232</v>
      </c>
      <c r="O251" s="6">
        <f>HYPERLINK("https://docs.wto.org/imrd/directdoc.asp?DDFDocuments/t/G/TBTN20/CRI189A17.DOCX", "https://docs.wto.org/imrd/directdoc.asp?DDFDocuments/t/G/TBTN20/CRI189A17.DOCX")</f>
      </c>
      <c r="P251" s="6">
        <f>HYPERLINK("https://docs.wto.org/imrd/directdoc.asp?DDFDocuments/u/G/TBTN20/CRI189A17.DOCX", "https://docs.wto.org/imrd/directdoc.asp?DDFDocuments/u/G/TBTN20/CRI189A17.DOCX")</f>
      </c>
      <c r="Q251" s="6">
        <f>HYPERLINK("https://docs.wto.org/imrd/directdoc.asp?DDFDocuments/v/G/TBTN20/CRI189A17.DOCX", "https://docs.wto.org/imrd/directdoc.asp?DDFDocuments/v/G/TBTN20/CRI189A17.DOCX")</f>
      </c>
    </row>
    <row r="252">
      <c r="A252" s="6" t="s">
        <v>180</v>
      </c>
      <c r="B252" s="7">
        <v>45533</v>
      </c>
      <c r="C252" s="6">
        <f>HYPERLINK("https://eping.wto.org/en/Search?viewData= G/TBT/N/CRI/189/Add.20"," G/TBT/N/CRI/189/Add.20")</f>
      </c>
      <c r="D252" s="8" t="s">
        <v>1155</v>
      </c>
      <c r="E252" s="8" t="s">
        <v>1233</v>
      </c>
      <c r="F252" s="8" t="s">
        <v>1157</v>
      </c>
      <c r="G252" s="6" t="s">
        <v>1158</v>
      </c>
      <c r="H252" s="6" t="s">
        <v>1159</v>
      </c>
      <c r="I252" s="6" t="s">
        <v>337</v>
      </c>
      <c r="J252" s="6" t="s">
        <v>40</v>
      </c>
      <c r="K252" s="6"/>
      <c r="L252" s="7" t="s">
        <v>40</v>
      </c>
      <c r="M252" s="6" t="s">
        <v>76</v>
      </c>
      <c r="N252" s="8" t="s">
        <v>1234</v>
      </c>
      <c r="O252" s="6">
        <f>HYPERLINK("https://docs.wto.org/imrd/directdoc.asp?DDFDocuments/t/G/TBTN20/CRI189A20.DOCX", "https://docs.wto.org/imrd/directdoc.asp?DDFDocuments/t/G/TBTN20/CRI189A20.DOCX")</f>
      </c>
      <c r="P252" s="6">
        <f>HYPERLINK("https://docs.wto.org/imrd/directdoc.asp?DDFDocuments/u/G/TBTN20/CRI189A20.DOCX", "https://docs.wto.org/imrd/directdoc.asp?DDFDocuments/u/G/TBTN20/CRI189A20.DOCX")</f>
      </c>
      <c r="Q252" s="6">
        <f>HYPERLINK("https://docs.wto.org/imrd/directdoc.asp?DDFDocuments/v/G/TBTN20/CRI189A20.DOCX", "https://docs.wto.org/imrd/directdoc.asp?DDFDocuments/v/G/TBTN20/CRI189A20.DOCX")</f>
      </c>
    </row>
    <row r="253">
      <c r="A253" s="6" t="s">
        <v>307</v>
      </c>
      <c r="B253" s="7">
        <v>45533</v>
      </c>
      <c r="C253" s="6">
        <f>HYPERLINK("https://eping.wto.org/en/Search?viewData= G/TBT/N/CAN/725/Add.1"," G/TBT/N/CAN/725/Add.1")</f>
      </c>
      <c r="D253" s="8" t="s">
        <v>1235</v>
      </c>
      <c r="E253" s="8" t="s">
        <v>1236</v>
      </c>
      <c r="F253" s="8" t="s">
        <v>1237</v>
      </c>
      <c r="G253" s="6" t="s">
        <v>40</v>
      </c>
      <c r="H253" s="6" t="s">
        <v>159</v>
      </c>
      <c r="I253" s="6" t="s">
        <v>142</v>
      </c>
      <c r="J253" s="6" t="s">
        <v>154</v>
      </c>
      <c r="K253" s="6"/>
      <c r="L253" s="7" t="s">
        <v>40</v>
      </c>
      <c r="M253" s="6" t="s">
        <v>76</v>
      </c>
      <c r="N253" s="8" t="s">
        <v>1238</v>
      </c>
      <c r="O253" s="6">
        <f>HYPERLINK("https://docs.wto.org/imrd/directdoc.asp?DDFDocuments/t/G/TBTN24/CAN725A1.DOCX", "https://docs.wto.org/imrd/directdoc.asp?DDFDocuments/t/G/TBTN24/CAN725A1.DOCX")</f>
      </c>
      <c r="P253" s="6">
        <f>HYPERLINK("https://docs.wto.org/imrd/directdoc.asp?DDFDocuments/u/G/TBTN24/CAN725A1.DOCX", "https://docs.wto.org/imrd/directdoc.asp?DDFDocuments/u/G/TBTN24/CAN725A1.DOCX")</f>
      </c>
      <c r="Q253" s="6">
        <f>HYPERLINK("https://docs.wto.org/imrd/directdoc.asp?DDFDocuments/v/G/TBTN24/CAN725A1.DOCX", "https://docs.wto.org/imrd/directdoc.asp?DDFDocuments/v/G/TBTN24/CAN725A1.DOCX")</f>
      </c>
    </row>
    <row r="254">
      <c r="A254" s="6" t="s">
        <v>401</v>
      </c>
      <c r="B254" s="7">
        <v>45533</v>
      </c>
      <c r="C254" s="6">
        <f>HYPERLINK("https://eping.wto.org/en/Search?viewData= G/SPS/N/KOR/806"," G/SPS/N/KOR/806")</f>
      </c>
      <c r="D254" s="8" t="s">
        <v>1239</v>
      </c>
      <c r="E254" s="8" t="s">
        <v>1240</v>
      </c>
      <c r="F254" s="8" t="s">
        <v>1189</v>
      </c>
      <c r="G254" s="6" t="s">
        <v>40</v>
      </c>
      <c r="H254" s="6" t="s">
        <v>40</v>
      </c>
      <c r="I254" s="6" t="s">
        <v>38</v>
      </c>
      <c r="J254" s="6" t="s">
        <v>39</v>
      </c>
      <c r="K254" s="6" t="s">
        <v>40</v>
      </c>
      <c r="L254" s="7">
        <v>45593</v>
      </c>
      <c r="M254" s="6" t="s">
        <v>25</v>
      </c>
      <c r="N254" s="8" t="s">
        <v>1241</v>
      </c>
      <c r="O254" s="6">
        <f>HYPERLINK("https://docs.wto.org/imrd/directdoc.asp?DDFDocuments/t/G/SPS/NKOR806.DOCX", "https://docs.wto.org/imrd/directdoc.asp?DDFDocuments/t/G/SPS/NKOR806.DOCX")</f>
      </c>
      <c r="P254" s="6">
        <f>HYPERLINK("https://docs.wto.org/imrd/directdoc.asp?DDFDocuments/u/G/SPS/NKOR806.DOCX", "https://docs.wto.org/imrd/directdoc.asp?DDFDocuments/u/G/SPS/NKOR806.DOCX")</f>
      </c>
      <c r="Q254" s="6">
        <f>HYPERLINK("https://docs.wto.org/imrd/directdoc.asp?DDFDocuments/v/G/SPS/NKOR806.DOCX", "https://docs.wto.org/imrd/directdoc.asp?DDFDocuments/v/G/SPS/NKOR806.DOCX")</f>
      </c>
    </row>
    <row r="255">
      <c r="A255" s="6" t="s">
        <v>180</v>
      </c>
      <c r="B255" s="7">
        <v>45533</v>
      </c>
      <c r="C255" s="6">
        <f>HYPERLINK("https://eping.wto.org/en/Search?viewData= G/TBT/N/CRI/189/Add.18"," G/TBT/N/CRI/189/Add.18")</f>
      </c>
      <c r="D255" s="8" t="s">
        <v>1155</v>
      </c>
      <c r="E255" s="8" t="s">
        <v>1242</v>
      </c>
      <c r="F255" s="8" t="s">
        <v>1157</v>
      </c>
      <c r="G255" s="6" t="s">
        <v>1158</v>
      </c>
      <c r="H255" s="6" t="s">
        <v>1159</v>
      </c>
      <c r="I255" s="6" t="s">
        <v>337</v>
      </c>
      <c r="J255" s="6" t="s">
        <v>40</v>
      </c>
      <c r="K255" s="6"/>
      <c r="L255" s="7" t="s">
        <v>40</v>
      </c>
      <c r="M255" s="6" t="s">
        <v>76</v>
      </c>
      <c r="N255" s="8" t="s">
        <v>1243</v>
      </c>
      <c r="O255" s="6">
        <f>HYPERLINK("https://docs.wto.org/imrd/directdoc.asp?DDFDocuments/t/G/TBTN20/CRI189A18.DOCX", "https://docs.wto.org/imrd/directdoc.asp?DDFDocuments/t/G/TBTN20/CRI189A18.DOCX")</f>
      </c>
      <c r="P255" s="6">
        <f>HYPERLINK("https://docs.wto.org/imrd/directdoc.asp?DDFDocuments/u/G/TBTN20/CRI189A18.DOCX", "https://docs.wto.org/imrd/directdoc.asp?DDFDocuments/u/G/TBTN20/CRI189A18.DOCX")</f>
      </c>
      <c r="Q255" s="6">
        <f>HYPERLINK("https://docs.wto.org/imrd/directdoc.asp?DDFDocuments/v/G/TBTN20/CRI189A18.DOCX", "https://docs.wto.org/imrd/directdoc.asp?DDFDocuments/v/G/TBTN20/CRI189A18.DOCX")</f>
      </c>
    </row>
    <row r="256">
      <c r="A256" s="6" t="s">
        <v>419</v>
      </c>
      <c r="B256" s="7">
        <v>45532</v>
      </c>
      <c r="C256" s="6">
        <f>HYPERLINK("https://eping.wto.org/en/Search?viewData= G/SPS/N/JPN/1274"," G/SPS/N/JPN/1274")</f>
      </c>
      <c r="D256" s="8" t="s">
        <v>1244</v>
      </c>
      <c r="E256" s="8" t="s">
        <v>1245</v>
      </c>
      <c r="F256" s="8" t="s">
        <v>1246</v>
      </c>
      <c r="G256" s="6" t="s">
        <v>40</v>
      </c>
      <c r="H256" s="6" t="s">
        <v>40</v>
      </c>
      <c r="I256" s="6" t="s">
        <v>38</v>
      </c>
      <c r="J256" s="6" t="s">
        <v>60</v>
      </c>
      <c r="K256" s="6" t="s">
        <v>40</v>
      </c>
      <c r="L256" s="7" t="s">
        <v>40</v>
      </c>
      <c r="M256" s="6" t="s">
        <v>25</v>
      </c>
      <c r="N256" s="8" t="s">
        <v>1247</v>
      </c>
      <c r="O256" s="6">
        <f>HYPERLINK("https://docs.wto.org/imrd/directdoc.asp?DDFDocuments/t/G/SPS/NJPN1274.DOCX", "https://docs.wto.org/imrd/directdoc.asp?DDFDocuments/t/G/SPS/NJPN1274.DOCX")</f>
      </c>
      <c r="P256" s="6">
        <f>HYPERLINK("https://docs.wto.org/imrd/directdoc.asp?DDFDocuments/u/G/SPS/NJPN1274.DOCX", "https://docs.wto.org/imrd/directdoc.asp?DDFDocuments/u/G/SPS/NJPN1274.DOCX")</f>
      </c>
      <c r="Q256" s="6">
        <f>HYPERLINK("https://docs.wto.org/imrd/directdoc.asp?DDFDocuments/v/G/SPS/NJPN1274.DOCX", "https://docs.wto.org/imrd/directdoc.asp?DDFDocuments/v/G/SPS/NJPN1274.DOCX")</f>
      </c>
    </row>
    <row r="257">
      <c r="A257" s="6" t="s">
        <v>419</v>
      </c>
      <c r="B257" s="7">
        <v>45532</v>
      </c>
      <c r="C257" s="6">
        <f>HYPERLINK("https://eping.wto.org/en/Search?viewData= G/SPS/N/JPN/1275"," G/SPS/N/JPN/1275")</f>
      </c>
      <c r="D257" s="8" t="s">
        <v>1248</v>
      </c>
      <c r="E257" s="8" t="s">
        <v>1249</v>
      </c>
      <c r="F257" s="8" t="s">
        <v>1250</v>
      </c>
      <c r="G257" s="6" t="s">
        <v>1251</v>
      </c>
      <c r="H257" s="6" t="s">
        <v>40</v>
      </c>
      <c r="I257" s="6" t="s">
        <v>369</v>
      </c>
      <c r="J257" s="6" t="s">
        <v>1252</v>
      </c>
      <c r="K257" s="6" t="s">
        <v>1253</v>
      </c>
      <c r="L257" s="7" t="s">
        <v>40</v>
      </c>
      <c r="M257" s="6" t="s">
        <v>356</v>
      </c>
      <c r="N257" s="6"/>
      <c r="O257" s="6">
        <f>HYPERLINK("https://docs.wto.org/imrd/directdoc.asp?DDFDocuments/t/G/SPS/NJPN1275.DOCX", "https://docs.wto.org/imrd/directdoc.asp?DDFDocuments/t/G/SPS/NJPN1275.DOCX")</f>
      </c>
      <c r="P257" s="6">
        <f>HYPERLINK("https://docs.wto.org/imrd/directdoc.asp?DDFDocuments/u/G/SPS/NJPN1275.DOCX", "https://docs.wto.org/imrd/directdoc.asp?DDFDocuments/u/G/SPS/NJPN1275.DOCX")</f>
      </c>
      <c r="Q257" s="6">
        <f>HYPERLINK("https://docs.wto.org/imrd/directdoc.asp?DDFDocuments/v/G/SPS/NJPN1275.DOCX", "https://docs.wto.org/imrd/directdoc.asp?DDFDocuments/v/G/SPS/NJPN1275.DOCX")</f>
      </c>
    </row>
    <row r="258">
      <c r="A258" s="6" t="s">
        <v>160</v>
      </c>
      <c r="B258" s="7">
        <v>45532</v>
      </c>
      <c r="C258" s="6">
        <f>HYPERLINK("https://eping.wto.org/en/Search?viewData= G/TBT/N/USA/1952/Add.2"," G/TBT/N/USA/1952/Add.2")</f>
      </c>
      <c r="D258" s="8" t="s">
        <v>1254</v>
      </c>
      <c r="E258" s="8" t="s">
        <v>1255</v>
      </c>
      <c r="F258" s="8" t="s">
        <v>1256</v>
      </c>
      <c r="G258" s="6" t="s">
        <v>40</v>
      </c>
      <c r="H258" s="6" t="s">
        <v>1257</v>
      </c>
      <c r="I258" s="6" t="s">
        <v>147</v>
      </c>
      <c r="J258" s="6" t="s">
        <v>40</v>
      </c>
      <c r="K258" s="6"/>
      <c r="L258" s="7" t="s">
        <v>40</v>
      </c>
      <c r="M258" s="6" t="s">
        <v>76</v>
      </c>
      <c r="N258" s="8" t="s">
        <v>1258</v>
      </c>
      <c r="O258" s="6">
        <f>HYPERLINK("https://docs.wto.org/imrd/directdoc.asp?DDFDocuments/t/G/TBTN22/USA1952A2.DOCX", "https://docs.wto.org/imrd/directdoc.asp?DDFDocuments/t/G/TBTN22/USA1952A2.DOCX")</f>
      </c>
      <c r="P258" s="6">
        <f>HYPERLINK("https://docs.wto.org/imrd/directdoc.asp?DDFDocuments/u/G/TBTN22/USA1952A2.DOCX", "https://docs.wto.org/imrd/directdoc.asp?DDFDocuments/u/G/TBTN22/USA1952A2.DOCX")</f>
      </c>
      <c r="Q258" s="6">
        <f>HYPERLINK("https://docs.wto.org/imrd/directdoc.asp?DDFDocuments/v/G/TBTN22/USA1952A2.DOCX", "https://docs.wto.org/imrd/directdoc.asp?DDFDocuments/v/G/TBTN22/USA1952A2.DOCX")</f>
      </c>
    </row>
    <row r="259">
      <c r="A259" s="6" t="s">
        <v>136</v>
      </c>
      <c r="B259" s="7">
        <v>45532</v>
      </c>
      <c r="C259" s="6">
        <f>HYPERLINK("https://eping.wto.org/en/Search?viewData= G/TBT/N/PER/163"," G/TBT/N/PER/163")</f>
      </c>
      <c r="D259" s="8" t="s">
        <v>1259</v>
      </c>
      <c r="E259" s="8" t="s">
        <v>1260</v>
      </c>
      <c r="F259" s="8" t="s">
        <v>1261</v>
      </c>
      <c r="G259" s="6" t="s">
        <v>1262</v>
      </c>
      <c r="H259" s="6" t="s">
        <v>1263</v>
      </c>
      <c r="I259" s="6" t="s">
        <v>147</v>
      </c>
      <c r="J259" s="6" t="s">
        <v>40</v>
      </c>
      <c r="K259" s="6"/>
      <c r="L259" s="7">
        <v>45592</v>
      </c>
      <c r="M259" s="6" t="s">
        <v>25</v>
      </c>
      <c r="N259" s="8" t="s">
        <v>1264</v>
      </c>
      <c r="O259" s="6">
        <f>HYPERLINK("https://docs.wto.org/imrd/directdoc.asp?DDFDocuments/t/G/TBTN24/PER163.DOCX", "https://docs.wto.org/imrd/directdoc.asp?DDFDocuments/t/G/TBTN24/PER163.DOCX")</f>
      </c>
      <c r="P259" s="6">
        <f>HYPERLINK("https://docs.wto.org/imrd/directdoc.asp?DDFDocuments/u/G/TBTN24/PER163.DOCX", "https://docs.wto.org/imrd/directdoc.asp?DDFDocuments/u/G/TBTN24/PER163.DOCX")</f>
      </c>
      <c r="Q259" s="6">
        <f>HYPERLINK("https://docs.wto.org/imrd/directdoc.asp?DDFDocuments/v/G/TBTN24/PER163.DOCX", "https://docs.wto.org/imrd/directdoc.asp?DDFDocuments/v/G/TBTN24/PER163.DOCX")</f>
      </c>
    </row>
    <row r="260">
      <c r="A260" s="6" t="s">
        <v>419</v>
      </c>
      <c r="B260" s="7">
        <v>45532</v>
      </c>
      <c r="C260" s="6">
        <f>HYPERLINK("https://eping.wto.org/en/Search?viewData= G/SPS/N/JPN/1273"," G/SPS/N/JPN/1273")</f>
      </c>
      <c r="D260" s="8" t="s">
        <v>1265</v>
      </c>
      <c r="E260" s="8" t="s">
        <v>1266</v>
      </c>
      <c r="F260" s="8" t="s">
        <v>1267</v>
      </c>
      <c r="G260" s="6" t="s">
        <v>1268</v>
      </c>
      <c r="H260" s="6" t="s">
        <v>40</v>
      </c>
      <c r="I260" s="6" t="s">
        <v>38</v>
      </c>
      <c r="J260" s="6" t="s">
        <v>103</v>
      </c>
      <c r="K260" s="6" t="s">
        <v>40</v>
      </c>
      <c r="L260" s="7" t="s">
        <v>40</v>
      </c>
      <c r="M260" s="6" t="s">
        <v>25</v>
      </c>
      <c r="N260" s="6"/>
      <c r="O260" s="6">
        <f>HYPERLINK("https://docs.wto.org/imrd/directdoc.asp?DDFDocuments/t/G/SPS/NJPN1273.DOCX", "https://docs.wto.org/imrd/directdoc.asp?DDFDocuments/t/G/SPS/NJPN1273.DOCX")</f>
      </c>
      <c r="P260" s="6">
        <f>HYPERLINK("https://docs.wto.org/imrd/directdoc.asp?DDFDocuments/u/G/SPS/NJPN1273.DOCX", "https://docs.wto.org/imrd/directdoc.asp?DDFDocuments/u/G/SPS/NJPN1273.DOCX")</f>
      </c>
      <c r="Q260" s="6">
        <f>HYPERLINK("https://docs.wto.org/imrd/directdoc.asp?DDFDocuments/v/G/SPS/NJPN1273.DOCX", "https://docs.wto.org/imrd/directdoc.asp?DDFDocuments/v/G/SPS/NJPN1273.DOCX")</f>
      </c>
    </row>
    <row r="261">
      <c r="A261" s="6" t="s">
        <v>595</v>
      </c>
      <c r="B261" s="7">
        <v>45532</v>
      </c>
      <c r="C261" s="6">
        <f>HYPERLINK("https://eping.wto.org/en/Search?viewData= G/SPS/N/SGP/87"," G/SPS/N/SGP/87")</f>
      </c>
      <c r="D261" s="8" t="s">
        <v>1269</v>
      </c>
      <c r="E261" s="8" t="s">
        <v>1270</v>
      </c>
      <c r="F261" s="8" t="s">
        <v>1271</v>
      </c>
      <c r="G261" s="6" t="s">
        <v>1272</v>
      </c>
      <c r="H261" s="6" t="s">
        <v>40</v>
      </c>
      <c r="I261" s="6" t="s">
        <v>791</v>
      </c>
      <c r="J261" s="6" t="s">
        <v>1273</v>
      </c>
      <c r="K261" s="6" t="s">
        <v>40</v>
      </c>
      <c r="L261" s="7" t="s">
        <v>40</v>
      </c>
      <c r="M261" s="6" t="s">
        <v>25</v>
      </c>
      <c r="N261" s="6"/>
      <c r="O261" s="6">
        <f>HYPERLINK("https://docs.wto.org/imrd/directdoc.asp?DDFDocuments/t/G/SPS/NSGP87.DOCX", "https://docs.wto.org/imrd/directdoc.asp?DDFDocuments/t/G/SPS/NSGP87.DOCX")</f>
      </c>
      <c r="P261" s="6">
        <f>HYPERLINK("https://docs.wto.org/imrd/directdoc.asp?DDFDocuments/u/G/SPS/NSGP87.DOCX", "https://docs.wto.org/imrd/directdoc.asp?DDFDocuments/u/G/SPS/NSGP87.DOCX")</f>
      </c>
      <c r="Q261" s="6">
        <f>HYPERLINK("https://docs.wto.org/imrd/directdoc.asp?DDFDocuments/v/G/SPS/NSGP87.DOCX", "https://docs.wto.org/imrd/directdoc.asp?DDFDocuments/v/G/SPS/NSGP87.DOCX")</f>
      </c>
    </row>
    <row r="262">
      <c r="A262" s="6" t="s">
        <v>136</v>
      </c>
      <c r="B262" s="7">
        <v>45532</v>
      </c>
      <c r="C262" s="6">
        <f>HYPERLINK("https://eping.wto.org/en/Search?viewData= G/SPS/N/PER/1057"," G/SPS/N/PER/1057")</f>
      </c>
      <c r="D262" s="8" t="s">
        <v>1274</v>
      </c>
      <c r="E262" s="8" t="s">
        <v>1275</v>
      </c>
      <c r="F262" s="8" t="s">
        <v>1276</v>
      </c>
      <c r="G262" s="6" t="s">
        <v>1277</v>
      </c>
      <c r="H262" s="6" t="s">
        <v>40</v>
      </c>
      <c r="I262" s="6" t="s">
        <v>369</v>
      </c>
      <c r="J262" s="6" t="s">
        <v>690</v>
      </c>
      <c r="K262" s="6" t="s">
        <v>1278</v>
      </c>
      <c r="L262" s="7">
        <v>45592</v>
      </c>
      <c r="M262" s="6" t="s">
        <v>25</v>
      </c>
      <c r="N262" s="8" t="s">
        <v>1279</v>
      </c>
      <c r="O262" s="6">
        <f>HYPERLINK("https://docs.wto.org/imrd/directdoc.asp?DDFDocuments/t/G/SPS/NPER1057.DOCX", "https://docs.wto.org/imrd/directdoc.asp?DDFDocuments/t/G/SPS/NPER1057.DOCX")</f>
      </c>
      <c r="P262" s="6">
        <f>HYPERLINK("https://docs.wto.org/imrd/directdoc.asp?DDFDocuments/u/G/SPS/NPER1057.DOCX", "https://docs.wto.org/imrd/directdoc.asp?DDFDocuments/u/G/SPS/NPER1057.DOCX")</f>
      </c>
      <c r="Q262" s="6">
        <f>HYPERLINK("https://docs.wto.org/imrd/directdoc.asp?DDFDocuments/v/G/SPS/NPER1057.DOCX", "https://docs.wto.org/imrd/directdoc.asp?DDFDocuments/v/G/SPS/NPER1057.DOCX")</f>
      </c>
    </row>
    <row r="263">
      <c r="A263" s="6" t="s">
        <v>1280</v>
      </c>
      <c r="B263" s="7">
        <v>45532</v>
      </c>
      <c r="C263" s="6">
        <f>HYPERLINK("https://eping.wto.org/en/Search?viewData= G/SPS/N/ALB/211"," G/SPS/N/ALB/211")</f>
      </c>
      <c r="D263" s="8" t="s">
        <v>1281</v>
      </c>
      <c r="E263" s="8" t="s">
        <v>1282</v>
      </c>
      <c r="F263" s="8" t="s">
        <v>1283</v>
      </c>
      <c r="G263" s="6" t="s">
        <v>40</v>
      </c>
      <c r="H263" s="6" t="s">
        <v>40</v>
      </c>
      <c r="I263" s="6" t="s">
        <v>827</v>
      </c>
      <c r="J263" s="6" t="s">
        <v>792</v>
      </c>
      <c r="K263" s="6" t="s">
        <v>40</v>
      </c>
      <c r="L263" s="7">
        <v>45592</v>
      </c>
      <c r="M263" s="6" t="s">
        <v>25</v>
      </c>
      <c r="N263" s="8" t="s">
        <v>1284</v>
      </c>
      <c r="O263" s="6">
        <f>HYPERLINK("https://docs.wto.org/imrd/directdoc.asp?DDFDocuments/t/G/SPS/NALB211.DOCX", "https://docs.wto.org/imrd/directdoc.asp?DDFDocuments/t/G/SPS/NALB211.DOCX")</f>
      </c>
      <c r="P263" s="6">
        <f>HYPERLINK("https://docs.wto.org/imrd/directdoc.asp?DDFDocuments/u/G/SPS/NALB211.DOCX", "https://docs.wto.org/imrd/directdoc.asp?DDFDocuments/u/G/SPS/NALB211.DOCX")</f>
      </c>
      <c r="Q263" s="6">
        <f>HYPERLINK("https://docs.wto.org/imrd/directdoc.asp?DDFDocuments/v/G/SPS/NALB211.DOCX", "https://docs.wto.org/imrd/directdoc.asp?DDFDocuments/v/G/SPS/NALB211.DOCX")</f>
      </c>
    </row>
    <row r="264">
      <c r="A264" s="6" t="s">
        <v>1285</v>
      </c>
      <c r="B264" s="7">
        <v>45532</v>
      </c>
      <c r="C264" s="6">
        <f>HYPERLINK("https://eping.wto.org/en/Search?viewData= G/TBT/N/MYS/124"," G/TBT/N/MYS/124")</f>
      </c>
      <c r="D264" s="8" t="s">
        <v>1286</v>
      </c>
      <c r="E264" s="8" t="s">
        <v>1287</v>
      </c>
      <c r="F264" s="8" t="s">
        <v>1288</v>
      </c>
      <c r="G264" s="6" t="s">
        <v>40</v>
      </c>
      <c r="H264" s="6" t="s">
        <v>1289</v>
      </c>
      <c r="I264" s="6" t="s">
        <v>134</v>
      </c>
      <c r="J264" s="6" t="s">
        <v>40</v>
      </c>
      <c r="K264" s="6"/>
      <c r="L264" s="7">
        <v>45592</v>
      </c>
      <c r="M264" s="6" t="s">
        <v>25</v>
      </c>
      <c r="N264" s="8" t="s">
        <v>1290</v>
      </c>
      <c r="O264" s="6">
        <f>HYPERLINK("https://docs.wto.org/imrd/directdoc.asp?DDFDocuments/t/G/TBTN24/MYS124.DOCX", "https://docs.wto.org/imrd/directdoc.asp?DDFDocuments/t/G/TBTN24/MYS124.DOCX")</f>
      </c>
      <c r="P264" s="6">
        <f>HYPERLINK("https://docs.wto.org/imrd/directdoc.asp?DDFDocuments/u/G/TBTN24/MYS124.DOCX", "https://docs.wto.org/imrd/directdoc.asp?DDFDocuments/u/G/TBTN24/MYS124.DOCX")</f>
      </c>
      <c r="Q264" s="6">
        <f>HYPERLINK("https://docs.wto.org/imrd/directdoc.asp?DDFDocuments/v/G/TBTN24/MYS124.DOCX", "https://docs.wto.org/imrd/directdoc.asp?DDFDocuments/v/G/TBTN24/MYS124.DOCX")</f>
      </c>
    </row>
    <row r="265">
      <c r="A265" s="6" t="s">
        <v>99</v>
      </c>
      <c r="B265" s="7">
        <v>45532</v>
      </c>
      <c r="C265" s="6">
        <f>HYPERLINK("https://eping.wto.org/en/Search?viewData= G/SPS/N/AUS/598"," G/SPS/N/AUS/598")</f>
      </c>
      <c r="D265" s="8" t="s">
        <v>1291</v>
      </c>
      <c r="E265" s="8" t="s">
        <v>1292</v>
      </c>
      <c r="F265" s="8" t="s">
        <v>1293</v>
      </c>
      <c r="G265" s="6" t="s">
        <v>40</v>
      </c>
      <c r="H265" s="6" t="s">
        <v>40</v>
      </c>
      <c r="I265" s="6" t="s">
        <v>1294</v>
      </c>
      <c r="J265" s="6" t="s">
        <v>1295</v>
      </c>
      <c r="K265" s="6" t="s">
        <v>40</v>
      </c>
      <c r="L265" s="7">
        <v>45566</v>
      </c>
      <c r="M265" s="6" t="s">
        <v>25</v>
      </c>
      <c r="N265" s="8" t="s">
        <v>1296</v>
      </c>
      <c r="O265" s="6">
        <f>HYPERLINK("https://docs.wto.org/imrd/directdoc.asp?DDFDocuments/t/G/SPS/NAUS598.DOCX", "https://docs.wto.org/imrd/directdoc.asp?DDFDocuments/t/G/SPS/NAUS598.DOCX")</f>
      </c>
      <c r="P265" s="6">
        <f>HYPERLINK("https://docs.wto.org/imrd/directdoc.asp?DDFDocuments/u/G/SPS/NAUS598.DOCX", "https://docs.wto.org/imrd/directdoc.asp?DDFDocuments/u/G/SPS/NAUS598.DOCX")</f>
      </c>
      <c r="Q265" s="6">
        <f>HYPERLINK("https://docs.wto.org/imrd/directdoc.asp?DDFDocuments/v/G/SPS/NAUS598.DOCX", "https://docs.wto.org/imrd/directdoc.asp?DDFDocuments/v/G/SPS/NAUS598.DOCX")</f>
      </c>
    </row>
    <row r="266">
      <c r="A266" s="6" t="s">
        <v>70</v>
      </c>
      <c r="B266" s="7">
        <v>45532</v>
      </c>
      <c r="C266" s="6">
        <f>HYPERLINK("https://eping.wto.org/en/Search?viewData= G/TBT/N/UKR/304/Add.1"," G/TBT/N/UKR/304/Add.1")</f>
      </c>
      <c r="D266" s="8" t="s">
        <v>1297</v>
      </c>
      <c r="E266" s="8" t="s">
        <v>1298</v>
      </c>
      <c r="F266" s="8" t="s">
        <v>1299</v>
      </c>
      <c r="G266" s="6" t="s">
        <v>1300</v>
      </c>
      <c r="H266" s="6" t="s">
        <v>254</v>
      </c>
      <c r="I266" s="6" t="s">
        <v>265</v>
      </c>
      <c r="J266" s="6" t="s">
        <v>122</v>
      </c>
      <c r="K266" s="6"/>
      <c r="L266" s="7" t="s">
        <v>40</v>
      </c>
      <c r="M266" s="6" t="s">
        <v>76</v>
      </c>
      <c r="N266" s="8" t="s">
        <v>1301</v>
      </c>
      <c r="O266" s="6">
        <f>HYPERLINK("https://docs.wto.org/imrd/directdoc.asp?DDFDocuments/t/G/TBTN24/UKR304A1.DOCX", "https://docs.wto.org/imrd/directdoc.asp?DDFDocuments/t/G/TBTN24/UKR304A1.DOCX")</f>
      </c>
      <c r="P266" s="6">
        <f>HYPERLINK("https://docs.wto.org/imrd/directdoc.asp?DDFDocuments/u/G/TBTN24/UKR304A1.DOCX", "https://docs.wto.org/imrd/directdoc.asp?DDFDocuments/u/G/TBTN24/UKR304A1.DOCX")</f>
      </c>
      <c r="Q266" s="6">
        <f>HYPERLINK("https://docs.wto.org/imrd/directdoc.asp?DDFDocuments/v/G/TBTN24/UKR304A1.DOCX", "https://docs.wto.org/imrd/directdoc.asp?DDFDocuments/v/G/TBTN24/UKR304A1.DOCX")</f>
      </c>
    </row>
    <row r="267">
      <c r="A267" s="6" t="s">
        <v>167</v>
      </c>
      <c r="B267" s="7">
        <v>45532</v>
      </c>
      <c r="C267" s="6">
        <f>HYPERLINK("https://eping.wto.org/en/Search?viewData= G/SPS/N/TUR/148"," G/SPS/N/TUR/148")</f>
      </c>
      <c r="D267" s="8" t="s">
        <v>1302</v>
      </c>
      <c r="E267" s="8" t="s">
        <v>1303</v>
      </c>
      <c r="F267" s="8" t="s">
        <v>1304</v>
      </c>
      <c r="G267" s="6" t="s">
        <v>610</v>
      </c>
      <c r="H267" s="6" t="s">
        <v>40</v>
      </c>
      <c r="I267" s="6" t="s">
        <v>369</v>
      </c>
      <c r="J267" s="6" t="s">
        <v>1305</v>
      </c>
      <c r="K267" s="6" t="s">
        <v>40</v>
      </c>
      <c r="L267" s="7" t="s">
        <v>40</v>
      </c>
      <c r="M267" s="6" t="s">
        <v>25</v>
      </c>
      <c r="N267" s="6"/>
      <c r="O267" s="6">
        <f>HYPERLINK("https://docs.wto.org/imrd/directdoc.asp?DDFDocuments/t/G/SPS/NTUR148.DOCX", "https://docs.wto.org/imrd/directdoc.asp?DDFDocuments/t/G/SPS/NTUR148.DOCX")</f>
      </c>
      <c r="P267" s="6">
        <f>HYPERLINK("https://docs.wto.org/imrd/directdoc.asp?DDFDocuments/u/G/SPS/NTUR148.DOCX", "https://docs.wto.org/imrd/directdoc.asp?DDFDocuments/u/G/SPS/NTUR148.DOCX")</f>
      </c>
      <c r="Q267" s="6">
        <f>HYPERLINK("https://docs.wto.org/imrd/directdoc.asp?DDFDocuments/v/G/SPS/NTUR148.DOCX", "https://docs.wto.org/imrd/directdoc.asp?DDFDocuments/v/G/SPS/NTUR148.DOCX")</f>
      </c>
    </row>
    <row r="268">
      <c r="A268" s="6" t="s">
        <v>70</v>
      </c>
      <c r="B268" s="7">
        <v>45532</v>
      </c>
      <c r="C268" s="6">
        <f>HYPERLINK("https://eping.wto.org/en/Search?viewData= G/TBT/N/UKR/297/Add.1"," G/TBT/N/UKR/297/Add.1")</f>
      </c>
      <c r="D268" s="8" t="s">
        <v>1306</v>
      </c>
      <c r="E268" s="8" t="s">
        <v>1307</v>
      </c>
      <c r="F268" s="8" t="s">
        <v>1308</v>
      </c>
      <c r="G268" s="6" t="s">
        <v>40</v>
      </c>
      <c r="H268" s="6" t="s">
        <v>1309</v>
      </c>
      <c r="I268" s="6" t="s">
        <v>1310</v>
      </c>
      <c r="J268" s="6" t="s">
        <v>40</v>
      </c>
      <c r="K268" s="6"/>
      <c r="L268" s="7" t="s">
        <v>40</v>
      </c>
      <c r="M268" s="6" t="s">
        <v>76</v>
      </c>
      <c r="N268" s="8" t="s">
        <v>1311</v>
      </c>
      <c r="O268" s="6">
        <f>HYPERLINK("https://docs.wto.org/imrd/directdoc.asp?DDFDocuments/t/G/TBTN24/UKR297A1.DOCX", "https://docs.wto.org/imrd/directdoc.asp?DDFDocuments/t/G/TBTN24/UKR297A1.DOCX")</f>
      </c>
      <c r="P268" s="6">
        <f>HYPERLINK("https://docs.wto.org/imrd/directdoc.asp?DDFDocuments/u/G/TBTN24/UKR297A1.DOCX", "https://docs.wto.org/imrd/directdoc.asp?DDFDocuments/u/G/TBTN24/UKR297A1.DOCX")</f>
      </c>
      <c r="Q268" s="6">
        <f>HYPERLINK("https://docs.wto.org/imrd/directdoc.asp?DDFDocuments/v/G/TBTN24/UKR297A1.DOCX", "https://docs.wto.org/imrd/directdoc.asp?DDFDocuments/v/G/TBTN24/UKR297A1.DOCX")</f>
      </c>
    </row>
    <row r="269">
      <c r="A269" s="6" t="s">
        <v>358</v>
      </c>
      <c r="B269" s="7">
        <v>45532</v>
      </c>
      <c r="C269" s="6">
        <f>HYPERLINK("https://eping.wto.org/en/Search?viewData= G/TBT/N/NZL/139"," G/TBT/N/NZL/139")</f>
      </c>
      <c r="D269" s="8" t="s">
        <v>1312</v>
      </c>
      <c r="E269" s="8" t="s">
        <v>1313</v>
      </c>
      <c r="F269" s="8" t="s">
        <v>1314</v>
      </c>
      <c r="G269" s="6" t="s">
        <v>1315</v>
      </c>
      <c r="H269" s="6" t="s">
        <v>1316</v>
      </c>
      <c r="I269" s="6" t="s">
        <v>142</v>
      </c>
      <c r="J269" s="6" t="s">
        <v>95</v>
      </c>
      <c r="K269" s="6"/>
      <c r="L269" s="7">
        <v>45592</v>
      </c>
      <c r="M269" s="6" t="s">
        <v>25</v>
      </c>
      <c r="N269" s="8" t="s">
        <v>1317</v>
      </c>
      <c r="O269" s="6">
        <f>HYPERLINK("https://docs.wto.org/imrd/directdoc.asp?DDFDocuments/t/G/TBTN24/NZL139.DOCX", "https://docs.wto.org/imrd/directdoc.asp?DDFDocuments/t/G/TBTN24/NZL139.DOCX")</f>
      </c>
      <c r="P269" s="6">
        <f>HYPERLINK("https://docs.wto.org/imrd/directdoc.asp?DDFDocuments/u/G/TBTN24/NZL139.DOCX", "https://docs.wto.org/imrd/directdoc.asp?DDFDocuments/u/G/TBTN24/NZL139.DOCX")</f>
      </c>
      <c r="Q269" s="6">
        <f>HYPERLINK("https://docs.wto.org/imrd/directdoc.asp?DDFDocuments/v/G/TBTN24/NZL139.DOCX", "https://docs.wto.org/imrd/directdoc.asp?DDFDocuments/v/G/TBTN24/NZL139.DOCX")</f>
      </c>
    </row>
    <row r="270">
      <c r="A270" s="6" t="s">
        <v>136</v>
      </c>
      <c r="B270" s="7">
        <v>45532</v>
      </c>
      <c r="C270" s="6">
        <f>HYPERLINK("https://eping.wto.org/en/Search?viewData= G/SPS/N/PER/1058"," G/SPS/N/PER/1058")</f>
      </c>
      <c r="D270" s="8" t="s">
        <v>1318</v>
      </c>
      <c r="E270" s="8" t="s">
        <v>1319</v>
      </c>
      <c r="F270" s="8" t="s">
        <v>1320</v>
      </c>
      <c r="G270" s="6" t="s">
        <v>610</v>
      </c>
      <c r="H270" s="6" t="s">
        <v>40</v>
      </c>
      <c r="I270" s="6" t="s">
        <v>369</v>
      </c>
      <c r="J270" s="6" t="s">
        <v>690</v>
      </c>
      <c r="K270" s="6" t="s">
        <v>167</v>
      </c>
      <c r="L270" s="7">
        <v>45592</v>
      </c>
      <c r="M270" s="6" t="s">
        <v>25</v>
      </c>
      <c r="N270" s="8" t="s">
        <v>1321</v>
      </c>
      <c r="O270" s="6">
        <f>HYPERLINK("https://docs.wto.org/imrd/directdoc.asp?DDFDocuments/t/G/SPS/NPER1058.DOCX", "https://docs.wto.org/imrd/directdoc.asp?DDFDocuments/t/G/SPS/NPER1058.DOCX")</f>
      </c>
      <c r="P270" s="6">
        <f>HYPERLINK("https://docs.wto.org/imrd/directdoc.asp?DDFDocuments/u/G/SPS/NPER1058.DOCX", "https://docs.wto.org/imrd/directdoc.asp?DDFDocuments/u/G/SPS/NPER1058.DOCX")</f>
      </c>
      <c r="Q270" s="6">
        <f>HYPERLINK("https://docs.wto.org/imrd/directdoc.asp?DDFDocuments/v/G/SPS/NPER1058.DOCX", "https://docs.wto.org/imrd/directdoc.asp?DDFDocuments/v/G/SPS/NPER1058.DOCX")</f>
      </c>
    </row>
    <row r="271">
      <c r="A271" s="6" t="s">
        <v>419</v>
      </c>
      <c r="B271" s="7">
        <v>45532</v>
      </c>
      <c r="C271" s="6">
        <f>HYPERLINK("https://eping.wto.org/en/Search?viewData= G/SPS/N/JPN/1272"," G/SPS/N/JPN/1272")</f>
      </c>
      <c r="D271" s="8" t="s">
        <v>1322</v>
      </c>
      <c r="E271" s="8" t="s">
        <v>1323</v>
      </c>
      <c r="F271" s="8" t="s">
        <v>1324</v>
      </c>
      <c r="G271" s="6" t="s">
        <v>409</v>
      </c>
      <c r="H271" s="6" t="s">
        <v>40</v>
      </c>
      <c r="I271" s="6" t="s">
        <v>369</v>
      </c>
      <c r="J271" s="6" t="s">
        <v>773</v>
      </c>
      <c r="K271" s="6" t="s">
        <v>1325</v>
      </c>
      <c r="L271" s="7" t="s">
        <v>40</v>
      </c>
      <c r="M271" s="6" t="s">
        <v>356</v>
      </c>
      <c r="N271" s="6"/>
      <c r="O271" s="6">
        <f>HYPERLINK("https://docs.wto.org/imrd/directdoc.asp?DDFDocuments/t/G/SPS/NJPN1272.DOCX", "https://docs.wto.org/imrd/directdoc.asp?DDFDocuments/t/G/SPS/NJPN1272.DOCX")</f>
      </c>
      <c r="P271" s="6">
        <f>HYPERLINK("https://docs.wto.org/imrd/directdoc.asp?DDFDocuments/u/G/SPS/NJPN1272.DOCX", "https://docs.wto.org/imrd/directdoc.asp?DDFDocuments/u/G/SPS/NJPN1272.DOCX")</f>
      </c>
      <c r="Q271" s="6">
        <f>HYPERLINK("https://docs.wto.org/imrd/directdoc.asp?DDFDocuments/v/G/SPS/NJPN1272.DOCX", "https://docs.wto.org/imrd/directdoc.asp?DDFDocuments/v/G/SPS/NJPN1272.DOCX")</f>
      </c>
    </row>
    <row r="272">
      <c r="A272" s="6" t="s">
        <v>1076</v>
      </c>
      <c r="B272" s="7">
        <v>45531</v>
      </c>
      <c r="C272" s="6">
        <f>HYPERLINK("https://eping.wto.org/en/Search?viewData= G/TBT/N/CHN/1900"," G/TBT/N/CHN/1900")</f>
      </c>
      <c r="D272" s="8" t="s">
        <v>1326</v>
      </c>
      <c r="E272" s="8" t="s">
        <v>1327</v>
      </c>
      <c r="F272" s="8" t="s">
        <v>1328</v>
      </c>
      <c r="G272" s="6" t="s">
        <v>1329</v>
      </c>
      <c r="H272" s="6" t="s">
        <v>1330</v>
      </c>
      <c r="I272" s="6" t="s">
        <v>280</v>
      </c>
      <c r="J272" s="6" t="s">
        <v>40</v>
      </c>
      <c r="K272" s="6"/>
      <c r="L272" s="7">
        <v>45591</v>
      </c>
      <c r="M272" s="6" t="s">
        <v>25</v>
      </c>
      <c r="N272" s="8" t="s">
        <v>1331</v>
      </c>
      <c r="O272" s="6">
        <f>HYPERLINK("https://docs.wto.org/imrd/directdoc.asp?DDFDocuments/t/G/TBTN24/CHN1900.DOCX", "https://docs.wto.org/imrd/directdoc.asp?DDFDocuments/t/G/TBTN24/CHN1900.DOCX")</f>
      </c>
      <c r="P272" s="6">
        <f>HYPERLINK("https://docs.wto.org/imrd/directdoc.asp?DDFDocuments/u/G/TBTN24/CHN1900.DOCX", "https://docs.wto.org/imrd/directdoc.asp?DDFDocuments/u/G/TBTN24/CHN1900.DOCX")</f>
      </c>
      <c r="Q272" s="6">
        <f>HYPERLINK("https://docs.wto.org/imrd/directdoc.asp?DDFDocuments/v/G/TBTN24/CHN1900.DOCX", "https://docs.wto.org/imrd/directdoc.asp?DDFDocuments/v/G/TBTN24/CHN1900.DOCX")</f>
      </c>
    </row>
    <row r="273">
      <c r="A273" s="6" t="s">
        <v>515</v>
      </c>
      <c r="B273" s="7">
        <v>45531</v>
      </c>
      <c r="C273" s="6">
        <f>HYPERLINK("https://eping.wto.org/en/Search?viewData= G/TBT/N/EU/1083"," G/TBT/N/EU/1083")</f>
      </c>
      <c r="D273" s="8" t="s">
        <v>1332</v>
      </c>
      <c r="E273" s="8" t="s">
        <v>1333</v>
      </c>
      <c r="F273" s="8" t="s">
        <v>1334</v>
      </c>
      <c r="G273" s="6" t="s">
        <v>40</v>
      </c>
      <c r="H273" s="6" t="s">
        <v>212</v>
      </c>
      <c r="I273" s="6" t="s">
        <v>1335</v>
      </c>
      <c r="J273" s="6" t="s">
        <v>40</v>
      </c>
      <c r="K273" s="6"/>
      <c r="L273" s="7">
        <v>45591</v>
      </c>
      <c r="M273" s="6" t="s">
        <v>25</v>
      </c>
      <c r="N273" s="8" t="s">
        <v>1336</v>
      </c>
      <c r="O273" s="6">
        <f>HYPERLINK("https://docs.wto.org/imrd/directdoc.asp?DDFDocuments/t/G/TBTN24/EU1083.DOCX", "https://docs.wto.org/imrd/directdoc.asp?DDFDocuments/t/G/TBTN24/EU1083.DOCX")</f>
      </c>
      <c r="P273" s="6">
        <f>HYPERLINK("https://docs.wto.org/imrd/directdoc.asp?DDFDocuments/u/G/TBTN24/EU1083.DOCX", "https://docs.wto.org/imrd/directdoc.asp?DDFDocuments/u/G/TBTN24/EU1083.DOCX")</f>
      </c>
      <c r="Q273" s="6">
        <f>HYPERLINK("https://docs.wto.org/imrd/directdoc.asp?DDFDocuments/v/G/TBTN24/EU1083.DOCX", "https://docs.wto.org/imrd/directdoc.asp?DDFDocuments/v/G/TBTN24/EU1083.DOCX")</f>
      </c>
    </row>
    <row r="274">
      <c r="A274" s="6" t="s">
        <v>1076</v>
      </c>
      <c r="B274" s="7">
        <v>45531</v>
      </c>
      <c r="C274" s="6">
        <f>HYPERLINK("https://eping.wto.org/en/Search?viewData= G/TBT/N/CHN/1889"," G/TBT/N/CHN/1889")</f>
      </c>
      <c r="D274" s="8" t="s">
        <v>1337</v>
      </c>
      <c r="E274" s="8" t="s">
        <v>1338</v>
      </c>
      <c r="F274" s="8" t="s">
        <v>1339</v>
      </c>
      <c r="G274" s="6" t="s">
        <v>1340</v>
      </c>
      <c r="H274" s="6" t="s">
        <v>1341</v>
      </c>
      <c r="I274" s="6" t="s">
        <v>872</v>
      </c>
      <c r="J274" s="6" t="s">
        <v>40</v>
      </c>
      <c r="K274" s="6"/>
      <c r="L274" s="7">
        <v>45591</v>
      </c>
      <c r="M274" s="6" t="s">
        <v>25</v>
      </c>
      <c r="N274" s="8" t="s">
        <v>1342</v>
      </c>
      <c r="O274" s="6">
        <f>HYPERLINK("https://docs.wto.org/imrd/directdoc.asp?DDFDocuments/t/G/TBTN24/CHN1889.DOCX", "https://docs.wto.org/imrd/directdoc.asp?DDFDocuments/t/G/TBTN24/CHN1889.DOCX")</f>
      </c>
      <c r="P274" s="6">
        <f>HYPERLINK("https://docs.wto.org/imrd/directdoc.asp?DDFDocuments/u/G/TBTN24/CHN1889.DOCX", "https://docs.wto.org/imrd/directdoc.asp?DDFDocuments/u/G/TBTN24/CHN1889.DOCX")</f>
      </c>
      <c r="Q274" s="6">
        <f>HYPERLINK("https://docs.wto.org/imrd/directdoc.asp?DDFDocuments/v/G/TBTN24/CHN1889.DOCX", "https://docs.wto.org/imrd/directdoc.asp?DDFDocuments/v/G/TBTN24/CHN1889.DOCX")</f>
      </c>
    </row>
    <row r="275">
      <c r="A275" s="6" t="s">
        <v>322</v>
      </c>
      <c r="B275" s="7">
        <v>45531</v>
      </c>
      <c r="C275" s="6">
        <f>HYPERLINK("https://eping.wto.org/en/Search?viewData= G/TBT/N/TPKM/548"," G/TBT/N/TPKM/548")</f>
      </c>
      <c r="D275" s="8" t="s">
        <v>1343</v>
      </c>
      <c r="E275" s="8" t="s">
        <v>1344</v>
      </c>
      <c r="F275" s="8" t="s">
        <v>1345</v>
      </c>
      <c r="G275" s="6" t="s">
        <v>1346</v>
      </c>
      <c r="H275" s="6" t="s">
        <v>1347</v>
      </c>
      <c r="I275" s="6" t="s">
        <v>147</v>
      </c>
      <c r="J275" s="6" t="s">
        <v>40</v>
      </c>
      <c r="K275" s="6"/>
      <c r="L275" s="7">
        <v>45591</v>
      </c>
      <c r="M275" s="6" t="s">
        <v>25</v>
      </c>
      <c r="N275" s="8" t="s">
        <v>1348</v>
      </c>
      <c r="O275" s="6">
        <f>HYPERLINK("https://docs.wto.org/imrd/directdoc.asp?DDFDocuments/t/G/TBTN24/TPKM548.DOCX", "https://docs.wto.org/imrd/directdoc.asp?DDFDocuments/t/G/TBTN24/TPKM548.DOCX")</f>
      </c>
      <c r="P275" s="6">
        <f>HYPERLINK("https://docs.wto.org/imrd/directdoc.asp?DDFDocuments/u/G/TBTN24/TPKM548.DOCX", "https://docs.wto.org/imrd/directdoc.asp?DDFDocuments/u/G/TBTN24/TPKM548.DOCX")</f>
      </c>
      <c r="Q275" s="6">
        <f>HYPERLINK("https://docs.wto.org/imrd/directdoc.asp?DDFDocuments/v/G/TBTN24/TPKM548.DOCX", "https://docs.wto.org/imrd/directdoc.asp?DDFDocuments/v/G/TBTN24/TPKM548.DOCX")</f>
      </c>
    </row>
    <row r="276">
      <c r="A276" s="6" t="s">
        <v>115</v>
      </c>
      <c r="B276" s="7">
        <v>45531</v>
      </c>
      <c r="C276" s="6">
        <f>HYPERLINK("https://eping.wto.org/en/Search?viewData= G/TBT/N/BRA/1305/Add.3"," G/TBT/N/BRA/1305/Add.3")</f>
      </c>
      <c r="D276" s="8" t="s">
        <v>1349</v>
      </c>
      <c r="E276" s="8" t="s">
        <v>1350</v>
      </c>
      <c r="F276" s="8" t="s">
        <v>1351</v>
      </c>
      <c r="G276" s="6" t="s">
        <v>891</v>
      </c>
      <c r="H276" s="6" t="s">
        <v>1352</v>
      </c>
      <c r="I276" s="6" t="s">
        <v>245</v>
      </c>
      <c r="J276" s="6" t="s">
        <v>40</v>
      </c>
      <c r="K276" s="6"/>
      <c r="L276" s="7" t="s">
        <v>40</v>
      </c>
      <c r="M276" s="6" t="s">
        <v>76</v>
      </c>
      <c r="N276" s="6"/>
      <c r="O276" s="6">
        <f>HYPERLINK("https://docs.wto.org/imrd/directdoc.asp?DDFDocuments/t/G/TBTN22/BRA1305A3.DOCX", "https://docs.wto.org/imrd/directdoc.asp?DDFDocuments/t/G/TBTN22/BRA1305A3.DOCX")</f>
      </c>
      <c r="P276" s="6">
        <f>HYPERLINK("https://docs.wto.org/imrd/directdoc.asp?DDFDocuments/u/G/TBTN22/BRA1305A3.DOCX", "https://docs.wto.org/imrd/directdoc.asp?DDFDocuments/u/G/TBTN22/BRA1305A3.DOCX")</f>
      </c>
      <c r="Q276" s="6">
        <f>HYPERLINK("https://docs.wto.org/imrd/directdoc.asp?DDFDocuments/v/G/TBTN22/BRA1305A3.DOCX", "https://docs.wto.org/imrd/directdoc.asp?DDFDocuments/v/G/TBTN22/BRA1305A3.DOCX")</f>
      </c>
    </row>
    <row r="277">
      <c r="A277" s="6" t="s">
        <v>322</v>
      </c>
      <c r="B277" s="7">
        <v>45531</v>
      </c>
      <c r="C277" s="6">
        <f>HYPERLINK("https://eping.wto.org/en/Search?viewData= G/TBT/N/TPKM/547"," G/TBT/N/TPKM/547")</f>
      </c>
      <c r="D277" s="8" t="s">
        <v>1353</v>
      </c>
      <c r="E277" s="8" t="s">
        <v>1354</v>
      </c>
      <c r="F277" s="8" t="s">
        <v>334</v>
      </c>
      <c r="G277" s="6" t="s">
        <v>40</v>
      </c>
      <c r="H277" s="6" t="s">
        <v>336</v>
      </c>
      <c r="I277" s="6" t="s">
        <v>147</v>
      </c>
      <c r="J277" s="6" t="s">
        <v>24</v>
      </c>
      <c r="K277" s="6"/>
      <c r="L277" s="7">
        <v>45591</v>
      </c>
      <c r="M277" s="6" t="s">
        <v>25</v>
      </c>
      <c r="N277" s="8" t="s">
        <v>1355</v>
      </c>
      <c r="O277" s="6">
        <f>HYPERLINK("https://docs.wto.org/imrd/directdoc.asp?DDFDocuments/t/G/TBTN24/TPKM547.DOCX", "https://docs.wto.org/imrd/directdoc.asp?DDFDocuments/t/G/TBTN24/TPKM547.DOCX")</f>
      </c>
      <c r="P277" s="6">
        <f>HYPERLINK("https://docs.wto.org/imrd/directdoc.asp?DDFDocuments/u/G/TBTN24/TPKM547.DOCX", "https://docs.wto.org/imrd/directdoc.asp?DDFDocuments/u/G/TBTN24/TPKM547.DOCX")</f>
      </c>
      <c r="Q277" s="6">
        <f>HYPERLINK("https://docs.wto.org/imrd/directdoc.asp?DDFDocuments/v/G/TBTN24/TPKM547.DOCX", "https://docs.wto.org/imrd/directdoc.asp?DDFDocuments/v/G/TBTN24/TPKM547.DOCX")</f>
      </c>
    </row>
    <row r="278">
      <c r="A278" s="6" t="s">
        <v>160</v>
      </c>
      <c r="B278" s="7">
        <v>45531</v>
      </c>
      <c r="C278" s="6">
        <f>HYPERLINK("https://eping.wto.org/en/Search?viewData= G/TBT/N/USA/1336/Rev.1/Add.3"," G/TBT/N/USA/1336/Rev.1/Add.3")</f>
      </c>
      <c r="D278" s="8" t="s">
        <v>1356</v>
      </c>
      <c r="E278" s="8" t="s">
        <v>1357</v>
      </c>
      <c r="F278" s="8" t="s">
        <v>1358</v>
      </c>
      <c r="G278" s="6" t="s">
        <v>40</v>
      </c>
      <c r="H278" s="6" t="s">
        <v>1359</v>
      </c>
      <c r="I278" s="6" t="s">
        <v>993</v>
      </c>
      <c r="J278" s="6" t="s">
        <v>40</v>
      </c>
      <c r="K278" s="6"/>
      <c r="L278" s="7">
        <v>45541</v>
      </c>
      <c r="M278" s="6" t="s">
        <v>76</v>
      </c>
      <c r="N278" s="8" t="s">
        <v>1360</v>
      </c>
      <c r="O278" s="6">
        <f>HYPERLINK("https://docs.wto.org/imrd/directdoc.asp?DDFDocuments/t/G/TBTN18/USA1336R1A3.DOCX", "https://docs.wto.org/imrd/directdoc.asp?DDFDocuments/t/G/TBTN18/USA1336R1A3.DOCX")</f>
      </c>
      <c r="P278" s="6">
        <f>HYPERLINK("https://docs.wto.org/imrd/directdoc.asp?DDFDocuments/u/G/TBTN18/USA1336R1A3.DOCX", "https://docs.wto.org/imrd/directdoc.asp?DDFDocuments/u/G/TBTN18/USA1336R1A3.DOCX")</f>
      </c>
      <c r="Q278" s="6">
        <f>HYPERLINK("https://docs.wto.org/imrd/directdoc.asp?DDFDocuments/v/G/TBTN18/USA1336R1A3.DOCX", "https://docs.wto.org/imrd/directdoc.asp?DDFDocuments/v/G/TBTN18/USA1336R1A3.DOCX")</f>
      </c>
    </row>
    <row r="279">
      <c r="A279" s="6" t="s">
        <v>358</v>
      </c>
      <c r="B279" s="7">
        <v>45531</v>
      </c>
      <c r="C279" s="6">
        <f>HYPERLINK("https://eping.wto.org/en/Search?viewData= G/TBT/N/NZL/138"," G/TBT/N/NZL/138")</f>
      </c>
      <c r="D279" s="8" t="s">
        <v>1361</v>
      </c>
      <c r="E279" s="8" t="s">
        <v>1362</v>
      </c>
      <c r="F279" s="8" t="s">
        <v>1363</v>
      </c>
      <c r="G279" s="6" t="s">
        <v>40</v>
      </c>
      <c r="H279" s="6" t="s">
        <v>1104</v>
      </c>
      <c r="I279" s="6" t="s">
        <v>142</v>
      </c>
      <c r="J279" s="6" t="s">
        <v>24</v>
      </c>
      <c r="K279" s="6"/>
      <c r="L279" s="7">
        <v>45589</v>
      </c>
      <c r="M279" s="6" t="s">
        <v>25</v>
      </c>
      <c r="N279" s="8" t="s">
        <v>1364</v>
      </c>
      <c r="O279" s="6">
        <f>HYPERLINK("https://docs.wto.org/imrd/directdoc.asp?DDFDocuments/t/G/TBTN24/NZL138.DOCX", "https://docs.wto.org/imrd/directdoc.asp?DDFDocuments/t/G/TBTN24/NZL138.DOCX")</f>
      </c>
      <c r="P279" s="6">
        <f>HYPERLINK("https://docs.wto.org/imrd/directdoc.asp?DDFDocuments/u/G/TBTN24/NZL138.DOCX", "https://docs.wto.org/imrd/directdoc.asp?DDFDocuments/u/G/TBTN24/NZL138.DOCX")</f>
      </c>
      <c r="Q279" s="6">
        <f>HYPERLINK("https://docs.wto.org/imrd/directdoc.asp?DDFDocuments/v/G/TBTN24/NZL138.DOCX", "https://docs.wto.org/imrd/directdoc.asp?DDFDocuments/v/G/TBTN24/NZL138.DOCX")</f>
      </c>
    </row>
    <row r="280">
      <c r="A280" s="6" t="s">
        <v>1076</v>
      </c>
      <c r="B280" s="7">
        <v>45531</v>
      </c>
      <c r="C280" s="6">
        <f>HYPERLINK("https://eping.wto.org/en/Search?viewData= G/TBT/N/CHN/1902"," G/TBT/N/CHN/1902")</f>
      </c>
      <c r="D280" s="8" t="s">
        <v>1365</v>
      </c>
      <c r="E280" s="8" t="s">
        <v>1366</v>
      </c>
      <c r="F280" s="8" t="s">
        <v>1367</v>
      </c>
      <c r="G280" s="6" t="s">
        <v>1368</v>
      </c>
      <c r="H280" s="6" t="s">
        <v>1369</v>
      </c>
      <c r="I280" s="6" t="s">
        <v>1370</v>
      </c>
      <c r="J280" s="6" t="s">
        <v>40</v>
      </c>
      <c r="K280" s="6"/>
      <c r="L280" s="7">
        <v>45591</v>
      </c>
      <c r="M280" s="6" t="s">
        <v>25</v>
      </c>
      <c r="N280" s="8" t="s">
        <v>1371</v>
      </c>
      <c r="O280" s="6">
        <f>HYPERLINK("https://docs.wto.org/imrd/directdoc.asp?DDFDocuments/t/G/TBTN24/CHN1902.DOCX", "https://docs.wto.org/imrd/directdoc.asp?DDFDocuments/t/G/TBTN24/CHN1902.DOCX")</f>
      </c>
      <c r="P280" s="6">
        <f>HYPERLINK("https://docs.wto.org/imrd/directdoc.asp?DDFDocuments/u/G/TBTN24/CHN1902.DOCX", "https://docs.wto.org/imrd/directdoc.asp?DDFDocuments/u/G/TBTN24/CHN1902.DOCX")</f>
      </c>
      <c r="Q280" s="6">
        <f>HYPERLINK("https://docs.wto.org/imrd/directdoc.asp?DDFDocuments/v/G/TBTN24/CHN1902.DOCX", "https://docs.wto.org/imrd/directdoc.asp?DDFDocuments/v/G/TBTN24/CHN1902.DOCX")</f>
      </c>
    </row>
    <row r="281">
      <c r="A281" s="6" t="s">
        <v>1076</v>
      </c>
      <c r="B281" s="7">
        <v>45531</v>
      </c>
      <c r="C281" s="6">
        <f>HYPERLINK("https://eping.wto.org/en/Search?viewData= G/TBT/N/CHN/1899"," G/TBT/N/CHN/1899")</f>
      </c>
      <c r="D281" s="8" t="s">
        <v>1372</v>
      </c>
      <c r="E281" s="8" t="s">
        <v>1373</v>
      </c>
      <c r="F281" s="8" t="s">
        <v>1374</v>
      </c>
      <c r="G281" s="6" t="s">
        <v>1375</v>
      </c>
      <c r="H281" s="6" t="s">
        <v>1376</v>
      </c>
      <c r="I281" s="6" t="s">
        <v>1377</v>
      </c>
      <c r="J281" s="6" t="s">
        <v>40</v>
      </c>
      <c r="K281" s="6"/>
      <c r="L281" s="7">
        <v>45591</v>
      </c>
      <c r="M281" s="6" t="s">
        <v>25</v>
      </c>
      <c r="N281" s="8" t="s">
        <v>1378</v>
      </c>
      <c r="O281" s="6">
        <f>HYPERLINK("https://docs.wto.org/imrd/directdoc.asp?DDFDocuments/t/G/TBTN24/CHN1899.DOCX", "https://docs.wto.org/imrd/directdoc.asp?DDFDocuments/t/G/TBTN24/CHN1899.DOCX")</f>
      </c>
      <c r="P281" s="6">
        <f>HYPERLINK("https://docs.wto.org/imrd/directdoc.asp?DDFDocuments/u/G/TBTN24/CHN1899.DOCX", "https://docs.wto.org/imrd/directdoc.asp?DDFDocuments/u/G/TBTN24/CHN1899.DOCX")</f>
      </c>
      <c r="Q281" s="6">
        <f>HYPERLINK("https://docs.wto.org/imrd/directdoc.asp?DDFDocuments/v/G/TBTN24/CHN1899.DOCX", "https://docs.wto.org/imrd/directdoc.asp?DDFDocuments/v/G/TBTN24/CHN1899.DOCX")</f>
      </c>
    </row>
    <row r="282">
      <c r="A282" s="6" t="s">
        <v>1076</v>
      </c>
      <c r="B282" s="7">
        <v>45531</v>
      </c>
      <c r="C282" s="6">
        <f>HYPERLINK("https://eping.wto.org/en/Search?viewData= G/TBT/N/CHN/1888"," G/TBT/N/CHN/1888")</f>
      </c>
      <c r="D282" s="8" t="s">
        <v>1379</v>
      </c>
      <c r="E282" s="8" t="s">
        <v>1380</v>
      </c>
      <c r="F282" s="8" t="s">
        <v>1381</v>
      </c>
      <c r="G282" s="6" t="s">
        <v>1382</v>
      </c>
      <c r="H282" s="6" t="s">
        <v>1383</v>
      </c>
      <c r="I282" s="6" t="s">
        <v>147</v>
      </c>
      <c r="J282" s="6" t="s">
        <v>40</v>
      </c>
      <c r="K282" s="6"/>
      <c r="L282" s="7">
        <v>45591</v>
      </c>
      <c r="M282" s="6" t="s">
        <v>25</v>
      </c>
      <c r="N282" s="8" t="s">
        <v>1384</v>
      </c>
      <c r="O282" s="6">
        <f>HYPERLINK("https://docs.wto.org/imrd/directdoc.asp?DDFDocuments/t/G/TBTN24/CHN1888.DOCX", "https://docs.wto.org/imrd/directdoc.asp?DDFDocuments/t/G/TBTN24/CHN1888.DOCX")</f>
      </c>
      <c r="P282" s="6">
        <f>HYPERLINK("https://docs.wto.org/imrd/directdoc.asp?DDFDocuments/u/G/TBTN24/CHN1888.DOCX", "https://docs.wto.org/imrd/directdoc.asp?DDFDocuments/u/G/TBTN24/CHN1888.DOCX")</f>
      </c>
      <c r="Q282" s="6">
        <f>HYPERLINK("https://docs.wto.org/imrd/directdoc.asp?DDFDocuments/v/G/TBTN24/CHN1888.DOCX", "https://docs.wto.org/imrd/directdoc.asp?DDFDocuments/v/G/TBTN24/CHN1888.DOCX")</f>
      </c>
    </row>
    <row r="283">
      <c r="A283" s="6" t="s">
        <v>115</v>
      </c>
      <c r="B283" s="7">
        <v>45531</v>
      </c>
      <c r="C283" s="6">
        <f>HYPERLINK("https://eping.wto.org/en/Search?viewData= G/SPS/N/BRA/2304/Add.1"," G/SPS/N/BRA/2304/Add.1")</f>
      </c>
      <c r="D283" s="8" t="s">
        <v>1385</v>
      </c>
      <c r="E283" s="8" t="s">
        <v>1386</v>
      </c>
      <c r="F283" s="8" t="s">
        <v>233</v>
      </c>
      <c r="G283" s="6" t="s">
        <v>40</v>
      </c>
      <c r="H283" s="6" t="s">
        <v>398</v>
      </c>
      <c r="I283" s="6" t="s">
        <v>38</v>
      </c>
      <c r="J283" s="6" t="s">
        <v>1387</v>
      </c>
      <c r="K283" s="6"/>
      <c r="L283" s="7">
        <v>45591</v>
      </c>
      <c r="M283" s="6" t="s">
        <v>76</v>
      </c>
      <c r="N283" s="8" t="s">
        <v>1388</v>
      </c>
      <c r="O283" s="6">
        <f>HYPERLINK("https://docs.wto.org/imrd/directdoc.asp?DDFDocuments/t/G/SPS/NBRA2304A1.DOCX", "https://docs.wto.org/imrd/directdoc.asp?DDFDocuments/t/G/SPS/NBRA2304A1.DOCX")</f>
      </c>
      <c r="P283" s="6">
        <f>HYPERLINK("https://docs.wto.org/imrd/directdoc.asp?DDFDocuments/u/G/SPS/NBRA2304A1.DOCX", "https://docs.wto.org/imrd/directdoc.asp?DDFDocuments/u/G/SPS/NBRA2304A1.DOCX")</f>
      </c>
      <c r="Q283" s="6">
        <f>HYPERLINK("https://docs.wto.org/imrd/directdoc.asp?DDFDocuments/v/G/SPS/NBRA2304A1.DOCX", "https://docs.wto.org/imrd/directdoc.asp?DDFDocuments/v/G/SPS/NBRA2304A1.DOCX")</f>
      </c>
    </row>
    <row r="284">
      <c r="A284" s="6" t="s">
        <v>115</v>
      </c>
      <c r="B284" s="7">
        <v>45531</v>
      </c>
      <c r="C284" s="6">
        <f>HYPERLINK("https://eping.wto.org/en/Search?viewData= G/TBT/N/BRA/1563"," G/TBT/N/BRA/1563")</f>
      </c>
      <c r="D284" s="8" t="s">
        <v>1389</v>
      </c>
      <c r="E284" s="8" t="s">
        <v>1390</v>
      </c>
      <c r="F284" s="8" t="s">
        <v>1391</v>
      </c>
      <c r="G284" s="6" t="s">
        <v>1392</v>
      </c>
      <c r="H284" s="6" t="s">
        <v>1316</v>
      </c>
      <c r="I284" s="6" t="s">
        <v>147</v>
      </c>
      <c r="J284" s="6" t="s">
        <v>95</v>
      </c>
      <c r="K284" s="6"/>
      <c r="L284" s="7">
        <v>45581</v>
      </c>
      <c r="M284" s="6" t="s">
        <v>25</v>
      </c>
      <c r="N284" s="8" t="s">
        <v>1393</v>
      </c>
      <c r="O284" s="6">
        <f>HYPERLINK("https://docs.wto.org/imrd/directdoc.asp?DDFDocuments/t/G/TBTN24/BRA1563.DOCX", "https://docs.wto.org/imrd/directdoc.asp?DDFDocuments/t/G/TBTN24/BRA1563.DOCX")</f>
      </c>
      <c r="P284" s="6">
        <f>HYPERLINK("https://docs.wto.org/imrd/directdoc.asp?DDFDocuments/u/G/TBTN24/BRA1563.DOCX", "https://docs.wto.org/imrd/directdoc.asp?DDFDocuments/u/G/TBTN24/BRA1563.DOCX")</f>
      </c>
      <c r="Q284" s="6">
        <f>HYPERLINK("https://docs.wto.org/imrd/directdoc.asp?DDFDocuments/v/G/TBTN24/BRA1563.DOCX", "https://docs.wto.org/imrd/directdoc.asp?DDFDocuments/v/G/TBTN24/BRA1563.DOCX")</f>
      </c>
    </row>
    <row r="285">
      <c r="A285" s="6" t="s">
        <v>198</v>
      </c>
      <c r="B285" s="7">
        <v>45531</v>
      </c>
      <c r="C285" s="6">
        <f>HYPERLINK("https://eping.wto.org/en/Search?viewData= G/TBT/N/CHL/699"," G/TBT/N/CHL/699")</f>
      </c>
      <c r="D285" s="8" t="s">
        <v>1394</v>
      </c>
      <c r="E285" s="8" t="s">
        <v>1395</v>
      </c>
      <c r="F285" s="8" t="s">
        <v>1396</v>
      </c>
      <c r="G285" s="6" t="s">
        <v>1397</v>
      </c>
      <c r="H285" s="6" t="s">
        <v>1398</v>
      </c>
      <c r="I285" s="6" t="s">
        <v>147</v>
      </c>
      <c r="J285" s="6" t="s">
        <v>40</v>
      </c>
      <c r="K285" s="6"/>
      <c r="L285" s="7">
        <v>45576</v>
      </c>
      <c r="M285" s="6" t="s">
        <v>25</v>
      </c>
      <c r="N285" s="8" t="s">
        <v>1399</v>
      </c>
      <c r="O285" s="6">
        <f>HYPERLINK("https://docs.wto.org/imrd/directdoc.asp?DDFDocuments/t/G/TBTN24/CHL699.DOCX", "https://docs.wto.org/imrd/directdoc.asp?DDFDocuments/t/G/TBTN24/CHL699.DOCX")</f>
      </c>
      <c r="P285" s="6">
        <f>HYPERLINK("https://docs.wto.org/imrd/directdoc.asp?DDFDocuments/u/G/TBTN24/CHL699.DOCX", "https://docs.wto.org/imrd/directdoc.asp?DDFDocuments/u/G/TBTN24/CHL699.DOCX")</f>
      </c>
      <c r="Q285" s="6">
        <f>HYPERLINK("https://docs.wto.org/imrd/directdoc.asp?DDFDocuments/v/G/TBTN24/CHL699.DOCX", "https://docs.wto.org/imrd/directdoc.asp?DDFDocuments/v/G/TBTN24/CHL699.DOCX")</f>
      </c>
    </row>
    <row r="286">
      <c r="A286" s="6" t="s">
        <v>1076</v>
      </c>
      <c r="B286" s="7">
        <v>45531</v>
      </c>
      <c r="C286" s="6">
        <f>HYPERLINK("https://eping.wto.org/en/Search?viewData= G/TBT/N/CHN/1898"," G/TBT/N/CHN/1898")</f>
      </c>
      <c r="D286" s="8" t="s">
        <v>1400</v>
      </c>
      <c r="E286" s="8" t="s">
        <v>1401</v>
      </c>
      <c r="F286" s="8" t="s">
        <v>1402</v>
      </c>
      <c r="G286" s="6" t="s">
        <v>1375</v>
      </c>
      <c r="H286" s="6" t="s">
        <v>1403</v>
      </c>
      <c r="I286" s="6" t="s">
        <v>1377</v>
      </c>
      <c r="J286" s="6" t="s">
        <v>40</v>
      </c>
      <c r="K286" s="6"/>
      <c r="L286" s="7">
        <v>45591</v>
      </c>
      <c r="M286" s="6" t="s">
        <v>25</v>
      </c>
      <c r="N286" s="8" t="s">
        <v>1404</v>
      </c>
      <c r="O286" s="6">
        <f>HYPERLINK("https://docs.wto.org/imrd/directdoc.asp?DDFDocuments/t/G/TBTN24/CHN1898.DOCX", "https://docs.wto.org/imrd/directdoc.asp?DDFDocuments/t/G/TBTN24/CHN1898.DOCX")</f>
      </c>
      <c r="P286" s="6">
        <f>HYPERLINK("https://docs.wto.org/imrd/directdoc.asp?DDFDocuments/u/G/TBTN24/CHN1898.DOCX", "https://docs.wto.org/imrd/directdoc.asp?DDFDocuments/u/G/TBTN24/CHN1898.DOCX")</f>
      </c>
      <c r="Q286" s="6">
        <f>HYPERLINK("https://docs.wto.org/imrd/directdoc.asp?DDFDocuments/v/G/TBTN24/CHN1898.DOCX", "https://docs.wto.org/imrd/directdoc.asp?DDFDocuments/v/G/TBTN24/CHN1898.DOCX")</f>
      </c>
    </row>
    <row r="287">
      <c r="A287" s="6" t="s">
        <v>1076</v>
      </c>
      <c r="B287" s="7">
        <v>45531</v>
      </c>
      <c r="C287" s="6">
        <f>HYPERLINK("https://eping.wto.org/en/Search?viewData= G/TBT/N/CHN/1887"," G/TBT/N/CHN/1887")</f>
      </c>
      <c r="D287" s="8" t="s">
        <v>1405</v>
      </c>
      <c r="E287" s="8" t="s">
        <v>1406</v>
      </c>
      <c r="F287" s="8" t="s">
        <v>1407</v>
      </c>
      <c r="G287" s="6" t="s">
        <v>1408</v>
      </c>
      <c r="H287" s="6" t="s">
        <v>1409</v>
      </c>
      <c r="I287" s="6" t="s">
        <v>147</v>
      </c>
      <c r="J287" s="6" t="s">
        <v>40</v>
      </c>
      <c r="K287" s="6"/>
      <c r="L287" s="7">
        <v>45591</v>
      </c>
      <c r="M287" s="6" t="s">
        <v>25</v>
      </c>
      <c r="N287" s="8" t="s">
        <v>1410</v>
      </c>
      <c r="O287" s="6">
        <f>HYPERLINK("https://docs.wto.org/imrd/directdoc.asp?DDFDocuments/t/G/TBTN24/CHN1887.DOCX", "https://docs.wto.org/imrd/directdoc.asp?DDFDocuments/t/G/TBTN24/CHN1887.DOCX")</f>
      </c>
      <c r="P287" s="6">
        <f>HYPERLINK("https://docs.wto.org/imrd/directdoc.asp?DDFDocuments/u/G/TBTN24/CHN1887.DOCX", "https://docs.wto.org/imrd/directdoc.asp?DDFDocuments/u/G/TBTN24/CHN1887.DOCX")</f>
      </c>
      <c r="Q287" s="6">
        <f>HYPERLINK("https://docs.wto.org/imrd/directdoc.asp?DDFDocuments/v/G/TBTN24/CHN1887.DOCX", "https://docs.wto.org/imrd/directdoc.asp?DDFDocuments/v/G/TBTN24/CHN1887.DOCX")</f>
      </c>
    </row>
    <row r="288">
      <c r="A288" s="6" t="s">
        <v>1076</v>
      </c>
      <c r="B288" s="7">
        <v>45531</v>
      </c>
      <c r="C288" s="6">
        <f>HYPERLINK("https://eping.wto.org/en/Search?viewData= G/TBT/N/CHN/1890"," G/TBT/N/CHN/1890")</f>
      </c>
      <c r="D288" s="8" t="s">
        <v>1411</v>
      </c>
      <c r="E288" s="8" t="s">
        <v>1412</v>
      </c>
      <c r="F288" s="8" t="s">
        <v>1413</v>
      </c>
      <c r="G288" s="6" t="s">
        <v>1414</v>
      </c>
      <c r="H288" s="6" t="s">
        <v>1415</v>
      </c>
      <c r="I288" s="6" t="s">
        <v>147</v>
      </c>
      <c r="J288" s="6" t="s">
        <v>40</v>
      </c>
      <c r="K288" s="6"/>
      <c r="L288" s="7">
        <v>45591</v>
      </c>
      <c r="M288" s="6" t="s">
        <v>25</v>
      </c>
      <c r="N288" s="8" t="s">
        <v>1416</v>
      </c>
      <c r="O288" s="6">
        <f>HYPERLINK("https://docs.wto.org/imrd/directdoc.asp?DDFDocuments/t/G/TBTN24/CHN1890.DOCX", "https://docs.wto.org/imrd/directdoc.asp?DDFDocuments/t/G/TBTN24/CHN1890.DOCX")</f>
      </c>
      <c r="P288" s="6">
        <f>HYPERLINK("https://docs.wto.org/imrd/directdoc.asp?DDFDocuments/u/G/TBTN24/CHN1890.DOCX", "https://docs.wto.org/imrd/directdoc.asp?DDFDocuments/u/G/TBTN24/CHN1890.DOCX")</f>
      </c>
      <c r="Q288" s="6">
        <f>HYPERLINK("https://docs.wto.org/imrd/directdoc.asp?DDFDocuments/v/G/TBTN24/CHN1890.DOCX", "https://docs.wto.org/imrd/directdoc.asp?DDFDocuments/v/G/TBTN24/CHN1890.DOCX")</f>
      </c>
    </row>
    <row r="289">
      <c r="A289" s="6" t="s">
        <v>412</v>
      </c>
      <c r="B289" s="7">
        <v>45531</v>
      </c>
      <c r="C289" s="6">
        <f>HYPERLINK("https://eping.wto.org/en/Search?viewData= G/SPS/N/COL/351/Add.2"," G/SPS/N/COL/351/Add.2")</f>
      </c>
      <c r="D289" s="8" t="s">
        <v>1417</v>
      </c>
      <c r="E289" s="8" t="s">
        <v>1417</v>
      </c>
      <c r="F289" s="8" t="s">
        <v>1418</v>
      </c>
      <c r="G289" s="6" t="s">
        <v>1419</v>
      </c>
      <c r="H289" s="6" t="s">
        <v>40</v>
      </c>
      <c r="I289" s="6" t="s">
        <v>1420</v>
      </c>
      <c r="J289" s="6" t="s">
        <v>1421</v>
      </c>
      <c r="K289" s="6"/>
      <c r="L289" s="7">
        <v>45591</v>
      </c>
      <c r="M289" s="6" t="s">
        <v>76</v>
      </c>
      <c r="N289" s="8" t="s">
        <v>1422</v>
      </c>
      <c r="O289" s="6">
        <f>HYPERLINK("https://docs.wto.org/imrd/directdoc.asp?DDFDocuments/t/G/SPS/NCOL351A2.DOCX", "https://docs.wto.org/imrd/directdoc.asp?DDFDocuments/t/G/SPS/NCOL351A2.DOCX")</f>
      </c>
      <c r="P289" s="6">
        <f>HYPERLINK("https://docs.wto.org/imrd/directdoc.asp?DDFDocuments/u/G/SPS/NCOL351A2.DOCX", "https://docs.wto.org/imrd/directdoc.asp?DDFDocuments/u/G/SPS/NCOL351A2.DOCX")</f>
      </c>
      <c r="Q289" s="6">
        <f>HYPERLINK("https://docs.wto.org/imrd/directdoc.asp?DDFDocuments/v/G/SPS/NCOL351A2.DOCX", "https://docs.wto.org/imrd/directdoc.asp?DDFDocuments/v/G/SPS/NCOL351A2.DOCX")</f>
      </c>
    </row>
    <row r="290">
      <c r="A290" s="6" t="s">
        <v>1076</v>
      </c>
      <c r="B290" s="7">
        <v>45531</v>
      </c>
      <c r="C290" s="6">
        <f>HYPERLINK("https://eping.wto.org/en/Search?viewData= G/TBT/N/CHN/1897"," G/TBT/N/CHN/1897")</f>
      </c>
      <c r="D290" s="8" t="s">
        <v>1423</v>
      </c>
      <c r="E290" s="8" t="s">
        <v>1424</v>
      </c>
      <c r="F290" s="8" t="s">
        <v>1425</v>
      </c>
      <c r="G290" s="6" t="s">
        <v>1375</v>
      </c>
      <c r="H290" s="6" t="s">
        <v>1376</v>
      </c>
      <c r="I290" s="6" t="s">
        <v>1377</v>
      </c>
      <c r="J290" s="6" t="s">
        <v>40</v>
      </c>
      <c r="K290" s="6"/>
      <c r="L290" s="7">
        <v>45591</v>
      </c>
      <c r="M290" s="6" t="s">
        <v>25</v>
      </c>
      <c r="N290" s="8" t="s">
        <v>1426</v>
      </c>
      <c r="O290" s="6">
        <f>HYPERLINK("https://docs.wto.org/imrd/directdoc.asp?DDFDocuments/t/G/TBTN24/CHN1897.DOCX", "https://docs.wto.org/imrd/directdoc.asp?DDFDocuments/t/G/TBTN24/CHN1897.DOCX")</f>
      </c>
      <c r="P290" s="6">
        <f>HYPERLINK("https://docs.wto.org/imrd/directdoc.asp?DDFDocuments/u/G/TBTN24/CHN1897.DOCX", "https://docs.wto.org/imrd/directdoc.asp?DDFDocuments/u/G/TBTN24/CHN1897.DOCX")</f>
      </c>
      <c r="Q290" s="6">
        <f>HYPERLINK("https://docs.wto.org/imrd/directdoc.asp?DDFDocuments/v/G/TBTN24/CHN1897.DOCX", "https://docs.wto.org/imrd/directdoc.asp?DDFDocuments/v/G/TBTN24/CHN1897.DOCX")</f>
      </c>
    </row>
    <row r="291">
      <c r="A291" s="6" t="s">
        <v>1076</v>
      </c>
      <c r="B291" s="7">
        <v>45531</v>
      </c>
      <c r="C291" s="6">
        <f>HYPERLINK("https://eping.wto.org/en/Search?viewData= G/TBT/N/CHN/1895"," G/TBT/N/CHN/1895")</f>
      </c>
      <c r="D291" s="8" t="s">
        <v>1427</v>
      </c>
      <c r="E291" s="8" t="s">
        <v>1428</v>
      </c>
      <c r="F291" s="8" t="s">
        <v>1429</v>
      </c>
      <c r="G291" s="6" t="s">
        <v>1392</v>
      </c>
      <c r="H291" s="6" t="s">
        <v>1316</v>
      </c>
      <c r="I291" s="6" t="s">
        <v>280</v>
      </c>
      <c r="J291" s="6" t="s">
        <v>40</v>
      </c>
      <c r="K291" s="6"/>
      <c r="L291" s="7">
        <v>45591</v>
      </c>
      <c r="M291" s="6" t="s">
        <v>25</v>
      </c>
      <c r="N291" s="8" t="s">
        <v>1430</v>
      </c>
      <c r="O291" s="6">
        <f>HYPERLINK("https://docs.wto.org/imrd/directdoc.asp?DDFDocuments/t/G/TBTN24/CHN1895.DOCX", "https://docs.wto.org/imrd/directdoc.asp?DDFDocuments/t/G/TBTN24/CHN1895.DOCX")</f>
      </c>
      <c r="P291" s="6">
        <f>HYPERLINK("https://docs.wto.org/imrd/directdoc.asp?DDFDocuments/u/G/TBTN24/CHN1895.DOCX", "https://docs.wto.org/imrd/directdoc.asp?DDFDocuments/u/G/TBTN24/CHN1895.DOCX")</f>
      </c>
      <c r="Q291" s="6">
        <f>HYPERLINK("https://docs.wto.org/imrd/directdoc.asp?DDFDocuments/v/G/TBTN24/CHN1895.DOCX", "https://docs.wto.org/imrd/directdoc.asp?DDFDocuments/v/G/TBTN24/CHN1895.DOCX")</f>
      </c>
    </row>
    <row r="292">
      <c r="A292" s="6" t="s">
        <v>1076</v>
      </c>
      <c r="B292" s="7">
        <v>45531</v>
      </c>
      <c r="C292" s="6">
        <f>HYPERLINK("https://eping.wto.org/en/Search?viewData= G/TBT/N/CHN/1892"," G/TBT/N/CHN/1892")</f>
      </c>
      <c r="D292" s="8" t="s">
        <v>1431</v>
      </c>
      <c r="E292" s="8" t="s">
        <v>1432</v>
      </c>
      <c r="F292" s="8" t="s">
        <v>1433</v>
      </c>
      <c r="G292" s="6" t="s">
        <v>1434</v>
      </c>
      <c r="H292" s="6" t="s">
        <v>1435</v>
      </c>
      <c r="I292" s="6" t="s">
        <v>147</v>
      </c>
      <c r="J292" s="6" t="s">
        <v>40</v>
      </c>
      <c r="K292" s="6"/>
      <c r="L292" s="7">
        <v>45591</v>
      </c>
      <c r="M292" s="6" t="s">
        <v>25</v>
      </c>
      <c r="N292" s="8" t="s">
        <v>1436</v>
      </c>
      <c r="O292" s="6">
        <f>HYPERLINK("https://docs.wto.org/imrd/directdoc.asp?DDFDocuments/t/G/TBTN24/CHN1892.DOCX", "https://docs.wto.org/imrd/directdoc.asp?DDFDocuments/t/G/TBTN24/CHN1892.DOCX")</f>
      </c>
      <c r="P292" s="6">
        <f>HYPERLINK("https://docs.wto.org/imrd/directdoc.asp?DDFDocuments/u/G/TBTN24/CHN1892.DOCX", "https://docs.wto.org/imrd/directdoc.asp?DDFDocuments/u/G/TBTN24/CHN1892.DOCX")</f>
      </c>
      <c r="Q292" s="6">
        <f>HYPERLINK("https://docs.wto.org/imrd/directdoc.asp?DDFDocuments/v/G/TBTN24/CHN1892.DOCX", "https://docs.wto.org/imrd/directdoc.asp?DDFDocuments/v/G/TBTN24/CHN1892.DOCX")</f>
      </c>
    </row>
    <row r="293">
      <c r="A293" s="6" t="s">
        <v>115</v>
      </c>
      <c r="B293" s="7">
        <v>45531</v>
      </c>
      <c r="C293" s="6">
        <f>HYPERLINK("https://eping.wto.org/en/Search?viewData= G/TBT/N/BRA/1562"," G/TBT/N/BRA/1562")</f>
      </c>
      <c r="D293" s="8" t="s">
        <v>1437</v>
      </c>
      <c r="E293" s="8" t="s">
        <v>1438</v>
      </c>
      <c r="F293" s="8" t="s">
        <v>1439</v>
      </c>
      <c r="G293" s="6" t="s">
        <v>1392</v>
      </c>
      <c r="H293" s="6" t="s">
        <v>1316</v>
      </c>
      <c r="I293" s="6" t="s">
        <v>147</v>
      </c>
      <c r="J293" s="6" t="s">
        <v>95</v>
      </c>
      <c r="K293" s="6"/>
      <c r="L293" s="7">
        <v>45581</v>
      </c>
      <c r="M293" s="6" t="s">
        <v>25</v>
      </c>
      <c r="N293" s="8" t="s">
        <v>1440</v>
      </c>
      <c r="O293" s="6">
        <f>HYPERLINK("https://docs.wto.org/imrd/directdoc.asp?DDFDocuments/t/G/TBTN24/BRA1562.DOCX", "https://docs.wto.org/imrd/directdoc.asp?DDFDocuments/t/G/TBTN24/BRA1562.DOCX")</f>
      </c>
      <c r="P293" s="6">
        <f>HYPERLINK("https://docs.wto.org/imrd/directdoc.asp?DDFDocuments/u/G/TBTN24/BRA1562.DOCX", "https://docs.wto.org/imrd/directdoc.asp?DDFDocuments/u/G/TBTN24/BRA1562.DOCX")</f>
      </c>
      <c r="Q293" s="6">
        <f>HYPERLINK("https://docs.wto.org/imrd/directdoc.asp?DDFDocuments/v/G/TBTN24/BRA1562.DOCX", "https://docs.wto.org/imrd/directdoc.asp?DDFDocuments/v/G/TBTN24/BRA1562.DOCX")</f>
      </c>
    </row>
    <row r="294">
      <c r="A294" s="6" t="s">
        <v>1076</v>
      </c>
      <c r="B294" s="7">
        <v>45531</v>
      </c>
      <c r="C294" s="6">
        <f>HYPERLINK("https://eping.wto.org/en/Search?viewData= G/TBT/N/CHN/1896"," G/TBT/N/CHN/1896")</f>
      </c>
      <c r="D294" s="8" t="s">
        <v>1441</v>
      </c>
      <c r="E294" s="8" t="s">
        <v>1442</v>
      </c>
      <c r="F294" s="8" t="s">
        <v>1443</v>
      </c>
      <c r="G294" s="6" t="s">
        <v>1444</v>
      </c>
      <c r="H294" s="6" t="s">
        <v>1445</v>
      </c>
      <c r="I294" s="6" t="s">
        <v>1220</v>
      </c>
      <c r="J294" s="6" t="s">
        <v>40</v>
      </c>
      <c r="K294" s="6"/>
      <c r="L294" s="7">
        <v>45591</v>
      </c>
      <c r="M294" s="6" t="s">
        <v>25</v>
      </c>
      <c r="N294" s="8" t="s">
        <v>1446</v>
      </c>
      <c r="O294" s="6">
        <f>HYPERLINK("https://docs.wto.org/imrd/directdoc.asp?DDFDocuments/t/G/TBTN24/CHN1896.DOCX", "https://docs.wto.org/imrd/directdoc.asp?DDFDocuments/t/G/TBTN24/CHN1896.DOCX")</f>
      </c>
      <c r="P294" s="6">
        <f>HYPERLINK("https://docs.wto.org/imrd/directdoc.asp?DDFDocuments/u/G/TBTN24/CHN1896.DOCX", "https://docs.wto.org/imrd/directdoc.asp?DDFDocuments/u/G/TBTN24/CHN1896.DOCX")</f>
      </c>
      <c r="Q294" s="6">
        <f>HYPERLINK("https://docs.wto.org/imrd/directdoc.asp?DDFDocuments/v/G/TBTN24/CHN1896.DOCX", "https://docs.wto.org/imrd/directdoc.asp?DDFDocuments/v/G/TBTN24/CHN1896.DOCX")</f>
      </c>
    </row>
    <row r="295">
      <c r="A295" s="6" t="s">
        <v>1076</v>
      </c>
      <c r="B295" s="7">
        <v>45531</v>
      </c>
      <c r="C295" s="6">
        <f>HYPERLINK("https://eping.wto.org/en/Search?viewData= G/TBT/N/CHN/1891"," G/TBT/N/CHN/1891")</f>
      </c>
      <c r="D295" s="8" t="s">
        <v>1447</v>
      </c>
      <c r="E295" s="8" t="s">
        <v>1448</v>
      </c>
      <c r="F295" s="8" t="s">
        <v>1449</v>
      </c>
      <c r="G295" s="6" t="s">
        <v>1450</v>
      </c>
      <c r="H295" s="6" t="s">
        <v>1415</v>
      </c>
      <c r="I295" s="6" t="s">
        <v>147</v>
      </c>
      <c r="J295" s="6" t="s">
        <v>40</v>
      </c>
      <c r="K295" s="6"/>
      <c r="L295" s="7">
        <v>45591</v>
      </c>
      <c r="M295" s="6" t="s">
        <v>25</v>
      </c>
      <c r="N295" s="8" t="s">
        <v>1451</v>
      </c>
      <c r="O295" s="6">
        <f>HYPERLINK("https://docs.wto.org/imrd/directdoc.asp?DDFDocuments/t/G/TBTN24/CHN1891.DOCX", "https://docs.wto.org/imrd/directdoc.asp?DDFDocuments/t/G/TBTN24/CHN1891.DOCX")</f>
      </c>
      <c r="P295" s="6">
        <f>HYPERLINK("https://docs.wto.org/imrd/directdoc.asp?DDFDocuments/u/G/TBTN24/CHN1891.DOCX", "https://docs.wto.org/imrd/directdoc.asp?DDFDocuments/u/G/TBTN24/CHN1891.DOCX")</f>
      </c>
      <c r="Q295" s="6">
        <f>HYPERLINK("https://docs.wto.org/imrd/directdoc.asp?DDFDocuments/v/G/TBTN24/CHN1891.DOCX", "https://docs.wto.org/imrd/directdoc.asp?DDFDocuments/v/G/TBTN24/CHN1891.DOCX")</f>
      </c>
    </row>
    <row r="296">
      <c r="A296" s="6" t="s">
        <v>1076</v>
      </c>
      <c r="B296" s="7">
        <v>45531</v>
      </c>
      <c r="C296" s="6">
        <f>HYPERLINK("https://eping.wto.org/en/Search?viewData= G/TBT/N/CHN/1905"," G/TBT/N/CHN/1905")</f>
      </c>
      <c r="D296" s="8" t="s">
        <v>1452</v>
      </c>
      <c r="E296" s="8" t="s">
        <v>1453</v>
      </c>
      <c r="F296" s="8" t="s">
        <v>1454</v>
      </c>
      <c r="G296" s="6" t="s">
        <v>1455</v>
      </c>
      <c r="H296" s="6" t="s">
        <v>1456</v>
      </c>
      <c r="I296" s="6" t="s">
        <v>245</v>
      </c>
      <c r="J296" s="6" t="s">
        <v>40</v>
      </c>
      <c r="K296" s="6"/>
      <c r="L296" s="7">
        <v>45591</v>
      </c>
      <c r="M296" s="6" t="s">
        <v>25</v>
      </c>
      <c r="N296" s="8" t="s">
        <v>1457</v>
      </c>
      <c r="O296" s="6">
        <f>HYPERLINK("https://docs.wto.org/imrd/directdoc.asp?DDFDocuments/t/G/TBTN24/CHN1905.DOCX", "https://docs.wto.org/imrd/directdoc.asp?DDFDocuments/t/G/TBTN24/CHN1905.DOCX")</f>
      </c>
      <c r="P296" s="6">
        <f>HYPERLINK("https://docs.wto.org/imrd/directdoc.asp?DDFDocuments/u/G/TBTN24/CHN1905.DOCX", "https://docs.wto.org/imrd/directdoc.asp?DDFDocuments/u/G/TBTN24/CHN1905.DOCX")</f>
      </c>
      <c r="Q296" s="6">
        <f>HYPERLINK("https://docs.wto.org/imrd/directdoc.asp?DDFDocuments/v/G/TBTN24/CHN1905.DOCX", "https://docs.wto.org/imrd/directdoc.asp?DDFDocuments/v/G/TBTN24/CHN1905.DOCX")</f>
      </c>
    </row>
    <row r="297">
      <c r="A297" s="6" t="s">
        <v>115</v>
      </c>
      <c r="B297" s="7">
        <v>45531</v>
      </c>
      <c r="C297" s="6">
        <f>HYPERLINK("https://eping.wto.org/en/Search?viewData= G/SPS/N/BRA/2301/Add.1"," G/SPS/N/BRA/2301/Add.1")</f>
      </c>
      <c r="D297" s="8" t="s">
        <v>1458</v>
      </c>
      <c r="E297" s="8" t="s">
        <v>1459</v>
      </c>
      <c r="F297" s="8" t="s">
        <v>233</v>
      </c>
      <c r="G297" s="6" t="s">
        <v>40</v>
      </c>
      <c r="H297" s="6" t="s">
        <v>398</v>
      </c>
      <c r="I297" s="6" t="s">
        <v>38</v>
      </c>
      <c r="J297" s="6" t="s">
        <v>1460</v>
      </c>
      <c r="K297" s="6"/>
      <c r="L297" s="7">
        <v>45591</v>
      </c>
      <c r="M297" s="6" t="s">
        <v>76</v>
      </c>
      <c r="N297" s="8" t="s">
        <v>1461</v>
      </c>
      <c r="O297" s="6">
        <f>HYPERLINK("https://docs.wto.org/imrd/directdoc.asp?DDFDocuments/t/G/SPS/NBRA2301A1.DOCX", "https://docs.wto.org/imrd/directdoc.asp?DDFDocuments/t/G/SPS/NBRA2301A1.DOCX")</f>
      </c>
      <c r="P297" s="6">
        <f>HYPERLINK("https://docs.wto.org/imrd/directdoc.asp?DDFDocuments/u/G/SPS/NBRA2301A1.DOCX", "https://docs.wto.org/imrd/directdoc.asp?DDFDocuments/u/G/SPS/NBRA2301A1.DOCX")</f>
      </c>
      <c r="Q297" s="6">
        <f>HYPERLINK("https://docs.wto.org/imrd/directdoc.asp?DDFDocuments/v/G/SPS/NBRA2301A1.DOCX", "https://docs.wto.org/imrd/directdoc.asp?DDFDocuments/v/G/SPS/NBRA2301A1.DOCX")</f>
      </c>
    </row>
    <row r="298">
      <c r="A298" s="6" t="s">
        <v>1285</v>
      </c>
      <c r="B298" s="7">
        <v>45531</v>
      </c>
      <c r="C298" s="6">
        <f>HYPERLINK("https://eping.wto.org/en/Search?viewData= G/TBT/N/MYS/23/Add.1"," G/TBT/N/MYS/23/Add.1")</f>
      </c>
      <c r="D298" s="8" t="s">
        <v>1462</v>
      </c>
      <c r="E298" s="8" t="s">
        <v>1463</v>
      </c>
      <c r="F298" s="8" t="s">
        <v>1464</v>
      </c>
      <c r="G298" s="6" t="s">
        <v>1465</v>
      </c>
      <c r="H298" s="6" t="s">
        <v>1466</v>
      </c>
      <c r="I298" s="6" t="s">
        <v>191</v>
      </c>
      <c r="J298" s="6" t="s">
        <v>122</v>
      </c>
      <c r="K298" s="6"/>
      <c r="L298" s="7" t="s">
        <v>40</v>
      </c>
      <c r="M298" s="6" t="s">
        <v>76</v>
      </c>
      <c r="N298" s="6"/>
      <c r="O298" s="6">
        <f>HYPERLINK("https://docs.wto.org/imrd/directdoc.asp?DDFDocuments/t/G/TBTN11/MYS23A1.DOCX", "https://docs.wto.org/imrd/directdoc.asp?DDFDocuments/t/G/TBTN11/MYS23A1.DOCX")</f>
      </c>
      <c r="P298" s="6">
        <f>HYPERLINK("https://docs.wto.org/imrd/directdoc.asp?DDFDocuments/u/G/TBTN11/MYS23A1.DOCX", "https://docs.wto.org/imrd/directdoc.asp?DDFDocuments/u/G/TBTN11/MYS23A1.DOCX")</f>
      </c>
      <c r="Q298" s="6">
        <f>HYPERLINK("https://docs.wto.org/imrd/directdoc.asp?DDFDocuments/v/G/TBTN11/MYS23A1.DOCX", "https://docs.wto.org/imrd/directdoc.asp?DDFDocuments/v/G/TBTN11/MYS23A1.DOCX")</f>
      </c>
    </row>
    <row r="299">
      <c r="A299" s="6" t="s">
        <v>1076</v>
      </c>
      <c r="B299" s="7">
        <v>45531</v>
      </c>
      <c r="C299" s="6">
        <f>HYPERLINK("https://eping.wto.org/en/Search?viewData= G/TBT/N/CHN/1901"," G/TBT/N/CHN/1901")</f>
      </c>
      <c r="D299" s="8" t="s">
        <v>1467</v>
      </c>
      <c r="E299" s="8" t="s">
        <v>1468</v>
      </c>
      <c r="F299" s="8" t="s">
        <v>1469</v>
      </c>
      <c r="G299" s="6" t="s">
        <v>1470</v>
      </c>
      <c r="H299" s="6" t="s">
        <v>1471</v>
      </c>
      <c r="I299" s="6" t="s">
        <v>147</v>
      </c>
      <c r="J299" s="6" t="s">
        <v>40</v>
      </c>
      <c r="K299" s="6"/>
      <c r="L299" s="7">
        <v>45591</v>
      </c>
      <c r="M299" s="6" t="s">
        <v>25</v>
      </c>
      <c r="N299" s="8" t="s">
        <v>1472</v>
      </c>
      <c r="O299" s="6">
        <f>HYPERLINK("https://docs.wto.org/imrd/directdoc.asp?DDFDocuments/t/G/TBTN24/CHN1901.DOCX", "https://docs.wto.org/imrd/directdoc.asp?DDFDocuments/t/G/TBTN24/CHN1901.DOCX")</f>
      </c>
      <c r="P299" s="6">
        <f>HYPERLINK("https://docs.wto.org/imrd/directdoc.asp?DDFDocuments/u/G/TBTN24/CHN1901.DOCX", "https://docs.wto.org/imrd/directdoc.asp?DDFDocuments/u/G/TBTN24/CHN1901.DOCX")</f>
      </c>
      <c r="Q299" s="6">
        <f>HYPERLINK("https://docs.wto.org/imrd/directdoc.asp?DDFDocuments/v/G/TBTN24/CHN1901.DOCX", "https://docs.wto.org/imrd/directdoc.asp?DDFDocuments/v/G/TBTN24/CHN1901.DOCX")</f>
      </c>
    </row>
    <row r="300">
      <c r="A300" s="6" t="s">
        <v>1076</v>
      </c>
      <c r="B300" s="7">
        <v>45531</v>
      </c>
      <c r="C300" s="6">
        <f>HYPERLINK("https://eping.wto.org/en/Search?viewData= G/TBT/N/CHN/1893"," G/TBT/N/CHN/1893")</f>
      </c>
      <c r="D300" s="8" t="s">
        <v>1473</v>
      </c>
      <c r="E300" s="8" t="s">
        <v>1474</v>
      </c>
      <c r="F300" s="8" t="s">
        <v>1475</v>
      </c>
      <c r="G300" s="6" t="s">
        <v>1476</v>
      </c>
      <c r="H300" s="6" t="s">
        <v>1477</v>
      </c>
      <c r="I300" s="6" t="s">
        <v>213</v>
      </c>
      <c r="J300" s="6" t="s">
        <v>40</v>
      </c>
      <c r="K300" s="6"/>
      <c r="L300" s="7">
        <v>45591</v>
      </c>
      <c r="M300" s="6" t="s">
        <v>25</v>
      </c>
      <c r="N300" s="8" t="s">
        <v>1478</v>
      </c>
      <c r="O300" s="6">
        <f>HYPERLINK("https://docs.wto.org/imrd/directdoc.asp?DDFDocuments/t/G/TBTN24/CHN1893.DOCX", "https://docs.wto.org/imrd/directdoc.asp?DDFDocuments/t/G/TBTN24/CHN1893.DOCX")</f>
      </c>
      <c r="P300" s="6">
        <f>HYPERLINK("https://docs.wto.org/imrd/directdoc.asp?DDFDocuments/u/G/TBTN24/CHN1893.DOCX", "https://docs.wto.org/imrd/directdoc.asp?DDFDocuments/u/G/TBTN24/CHN1893.DOCX")</f>
      </c>
      <c r="Q300" s="6">
        <f>HYPERLINK("https://docs.wto.org/imrd/directdoc.asp?DDFDocuments/v/G/TBTN24/CHN1893.DOCX", "https://docs.wto.org/imrd/directdoc.asp?DDFDocuments/v/G/TBTN24/CHN1893.DOCX")</f>
      </c>
    </row>
    <row r="301">
      <c r="A301" s="6" t="s">
        <v>1076</v>
      </c>
      <c r="B301" s="7">
        <v>45531</v>
      </c>
      <c r="C301" s="6">
        <f>HYPERLINK("https://eping.wto.org/en/Search?viewData= G/TBT/N/CHN/1894"," G/TBT/N/CHN/1894")</f>
      </c>
      <c r="D301" s="8" t="s">
        <v>1479</v>
      </c>
      <c r="E301" s="8" t="s">
        <v>1480</v>
      </c>
      <c r="F301" s="8" t="s">
        <v>1481</v>
      </c>
      <c r="G301" s="6" t="s">
        <v>1482</v>
      </c>
      <c r="H301" s="6" t="s">
        <v>1483</v>
      </c>
      <c r="I301" s="6" t="s">
        <v>213</v>
      </c>
      <c r="J301" s="6" t="s">
        <v>40</v>
      </c>
      <c r="K301" s="6"/>
      <c r="L301" s="7">
        <v>45591</v>
      </c>
      <c r="M301" s="6" t="s">
        <v>25</v>
      </c>
      <c r="N301" s="8" t="s">
        <v>1484</v>
      </c>
      <c r="O301" s="6">
        <f>HYPERLINK("https://docs.wto.org/imrd/directdoc.asp?DDFDocuments/t/G/TBTN24/CHN1894.DOCX", "https://docs.wto.org/imrd/directdoc.asp?DDFDocuments/t/G/TBTN24/CHN1894.DOCX")</f>
      </c>
      <c r="P301" s="6">
        <f>HYPERLINK("https://docs.wto.org/imrd/directdoc.asp?DDFDocuments/u/G/TBTN24/CHN1894.DOCX", "https://docs.wto.org/imrd/directdoc.asp?DDFDocuments/u/G/TBTN24/CHN1894.DOCX")</f>
      </c>
      <c r="Q301" s="6">
        <f>HYPERLINK("https://docs.wto.org/imrd/directdoc.asp?DDFDocuments/v/G/TBTN24/CHN1894.DOCX", "https://docs.wto.org/imrd/directdoc.asp?DDFDocuments/v/G/TBTN24/CHN1894.DOCX")</f>
      </c>
    </row>
    <row r="302">
      <c r="A302" s="6" t="s">
        <v>115</v>
      </c>
      <c r="B302" s="7">
        <v>45531</v>
      </c>
      <c r="C302" s="6">
        <f>HYPERLINK("https://eping.wto.org/en/Search?viewData= G/TBT/N/BRA/1305/Add.4"," G/TBT/N/BRA/1305/Add.4")</f>
      </c>
      <c r="D302" s="8" t="s">
        <v>1349</v>
      </c>
      <c r="E302" s="8" t="s">
        <v>1485</v>
      </c>
      <c r="F302" s="8" t="s">
        <v>1351</v>
      </c>
      <c r="G302" s="6" t="s">
        <v>891</v>
      </c>
      <c r="H302" s="6" t="s">
        <v>1352</v>
      </c>
      <c r="I302" s="6" t="s">
        <v>245</v>
      </c>
      <c r="J302" s="6" t="s">
        <v>40</v>
      </c>
      <c r="K302" s="6"/>
      <c r="L302" s="7" t="s">
        <v>40</v>
      </c>
      <c r="M302" s="6" t="s">
        <v>76</v>
      </c>
      <c r="N302" s="6"/>
      <c r="O302" s="6">
        <f>HYPERLINK("https://docs.wto.org/imrd/directdoc.asp?DDFDocuments/t/G/TBTN22/BRA1305A4.DOCX", "https://docs.wto.org/imrd/directdoc.asp?DDFDocuments/t/G/TBTN22/BRA1305A4.DOCX")</f>
      </c>
      <c r="P302" s="6">
        <f>HYPERLINK("https://docs.wto.org/imrd/directdoc.asp?DDFDocuments/u/G/TBTN22/BRA1305A4.DOCX", "https://docs.wto.org/imrd/directdoc.asp?DDFDocuments/u/G/TBTN22/BRA1305A4.DOCX")</f>
      </c>
      <c r="Q302" s="6">
        <f>HYPERLINK("https://docs.wto.org/imrd/directdoc.asp?DDFDocuments/v/G/TBTN22/BRA1305A4.DOCX", "https://docs.wto.org/imrd/directdoc.asp?DDFDocuments/v/G/TBTN22/BRA1305A4.DOCX")</f>
      </c>
    </row>
    <row r="303">
      <c r="A303" s="6" t="s">
        <v>1076</v>
      </c>
      <c r="B303" s="7">
        <v>45531</v>
      </c>
      <c r="C303" s="6">
        <f>HYPERLINK("https://eping.wto.org/en/Search?viewData= G/TBT/N/CHN/1904"," G/TBT/N/CHN/1904")</f>
      </c>
      <c r="D303" s="8" t="s">
        <v>1486</v>
      </c>
      <c r="E303" s="8" t="s">
        <v>1487</v>
      </c>
      <c r="F303" s="8" t="s">
        <v>1488</v>
      </c>
      <c r="G303" s="6" t="s">
        <v>1455</v>
      </c>
      <c r="H303" s="6" t="s">
        <v>1456</v>
      </c>
      <c r="I303" s="6" t="s">
        <v>245</v>
      </c>
      <c r="J303" s="6" t="s">
        <v>40</v>
      </c>
      <c r="K303" s="6"/>
      <c r="L303" s="7">
        <v>45591</v>
      </c>
      <c r="M303" s="6" t="s">
        <v>25</v>
      </c>
      <c r="N303" s="8" t="s">
        <v>1489</v>
      </c>
      <c r="O303" s="6">
        <f>HYPERLINK("https://docs.wto.org/imrd/directdoc.asp?DDFDocuments/t/G/TBTN24/CHN1904.DOCX", "https://docs.wto.org/imrd/directdoc.asp?DDFDocuments/t/G/TBTN24/CHN1904.DOCX")</f>
      </c>
      <c r="P303" s="6">
        <f>HYPERLINK("https://docs.wto.org/imrd/directdoc.asp?DDFDocuments/u/G/TBTN24/CHN1904.DOCX", "https://docs.wto.org/imrd/directdoc.asp?DDFDocuments/u/G/TBTN24/CHN1904.DOCX")</f>
      </c>
      <c r="Q303" s="6">
        <f>HYPERLINK("https://docs.wto.org/imrd/directdoc.asp?DDFDocuments/v/G/TBTN24/CHN1904.DOCX", "https://docs.wto.org/imrd/directdoc.asp?DDFDocuments/v/G/TBTN24/CHN1904.DOCX")</f>
      </c>
    </row>
    <row r="304">
      <c r="A304" s="6" t="s">
        <v>322</v>
      </c>
      <c r="B304" s="7">
        <v>45531</v>
      </c>
      <c r="C304" s="6">
        <f>HYPERLINK("https://eping.wto.org/en/Search?viewData= G/SPS/N/TPKM/632"," G/SPS/N/TPKM/632")</f>
      </c>
      <c r="D304" s="8" t="s">
        <v>1490</v>
      </c>
      <c r="E304" s="8" t="s">
        <v>1491</v>
      </c>
      <c r="F304" s="8" t="s">
        <v>1492</v>
      </c>
      <c r="G304" s="6" t="s">
        <v>40</v>
      </c>
      <c r="H304" s="6" t="s">
        <v>40</v>
      </c>
      <c r="I304" s="6" t="s">
        <v>38</v>
      </c>
      <c r="J304" s="6" t="s">
        <v>1493</v>
      </c>
      <c r="K304" s="6" t="s">
        <v>40</v>
      </c>
      <c r="L304" s="7">
        <v>45591</v>
      </c>
      <c r="M304" s="6" t="s">
        <v>25</v>
      </c>
      <c r="N304" s="8" t="s">
        <v>1494</v>
      </c>
      <c r="O304" s="6">
        <f>HYPERLINK("https://docs.wto.org/imrd/directdoc.asp?DDFDocuments/t/G/SPS/NTPKM632.DOCX", "https://docs.wto.org/imrd/directdoc.asp?DDFDocuments/t/G/SPS/NTPKM632.DOCX")</f>
      </c>
      <c r="P304" s="6">
        <f>HYPERLINK("https://docs.wto.org/imrd/directdoc.asp?DDFDocuments/u/G/SPS/NTPKM632.DOCX", "https://docs.wto.org/imrd/directdoc.asp?DDFDocuments/u/G/SPS/NTPKM632.DOCX")</f>
      </c>
      <c r="Q304" s="6">
        <f>HYPERLINK("https://docs.wto.org/imrd/directdoc.asp?DDFDocuments/v/G/SPS/NTPKM632.DOCX", "https://docs.wto.org/imrd/directdoc.asp?DDFDocuments/v/G/SPS/NTPKM632.DOCX")</f>
      </c>
    </row>
    <row r="305">
      <c r="A305" s="6" t="s">
        <v>1076</v>
      </c>
      <c r="B305" s="7">
        <v>45531</v>
      </c>
      <c r="C305" s="6">
        <f>HYPERLINK("https://eping.wto.org/en/Search?viewData= G/TBT/N/CHN/1903"," G/TBT/N/CHN/1903")</f>
      </c>
      <c r="D305" s="8" t="s">
        <v>1495</v>
      </c>
      <c r="E305" s="8" t="s">
        <v>1496</v>
      </c>
      <c r="F305" s="8" t="s">
        <v>1497</v>
      </c>
      <c r="G305" s="6" t="s">
        <v>1498</v>
      </c>
      <c r="H305" s="6" t="s">
        <v>1369</v>
      </c>
      <c r="I305" s="6" t="s">
        <v>1370</v>
      </c>
      <c r="J305" s="6" t="s">
        <v>40</v>
      </c>
      <c r="K305" s="6"/>
      <c r="L305" s="7">
        <v>45591</v>
      </c>
      <c r="M305" s="6" t="s">
        <v>25</v>
      </c>
      <c r="N305" s="8" t="s">
        <v>1499</v>
      </c>
      <c r="O305" s="6">
        <f>HYPERLINK("https://docs.wto.org/imrd/directdoc.asp?DDFDocuments/t/G/TBTN24/CHN1903.DOCX", "https://docs.wto.org/imrd/directdoc.asp?DDFDocuments/t/G/TBTN24/CHN1903.DOCX")</f>
      </c>
      <c r="P305" s="6">
        <f>HYPERLINK("https://docs.wto.org/imrd/directdoc.asp?DDFDocuments/u/G/TBTN24/CHN1903.DOCX", "https://docs.wto.org/imrd/directdoc.asp?DDFDocuments/u/G/TBTN24/CHN1903.DOCX")</f>
      </c>
      <c r="Q305" s="6">
        <f>HYPERLINK("https://docs.wto.org/imrd/directdoc.asp?DDFDocuments/v/G/TBTN24/CHN1903.DOCX", "https://docs.wto.org/imrd/directdoc.asp?DDFDocuments/v/G/TBTN24/CHN1903.DOCX")</f>
      </c>
    </row>
    <row r="306">
      <c r="A306" s="6" t="s">
        <v>1076</v>
      </c>
      <c r="B306" s="7">
        <v>45531</v>
      </c>
      <c r="C306" s="6">
        <f>HYPERLINK("https://eping.wto.org/en/Search?viewData= G/TBT/N/CHN/1907"," G/TBT/N/CHN/1907")</f>
      </c>
      <c r="D306" s="8" t="s">
        <v>1500</v>
      </c>
      <c r="E306" s="8" t="s">
        <v>1501</v>
      </c>
      <c r="F306" s="8" t="s">
        <v>1502</v>
      </c>
      <c r="G306" s="6" t="s">
        <v>1503</v>
      </c>
      <c r="H306" s="6" t="s">
        <v>1504</v>
      </c>
      <c r="I306" s="6" t="s">
        <v>280</v>
      </c>
      <c r="J306" s="6" t="s">
        <v>40</v>
      </c>
      <c r="K306" s="6"/>
      <c r="L306" s="7">
        <v>45591</v>
      </c>
      <c r="M306" s="6" t="s">
        <v>25</v>
      </c>
      <c r="N306" s="8" t="s">
        <v>1505</v>
      </c>
      <c r="O306" s="6">
        <f>HYPERLINK("https://docs.wto.org/imrd/directdoc.asp?DDFDocuments/t/G/TBTN24/CHN1907.DOCX", "https://docs.wto.org/imrd/directdoc.asp?DDFDocuments/t/G/TBTN24/CHN1907.DOCX")</f>
      </c>
      <c r="P306" s="6">
        <f>HYPERLINK("https://docs.wto.org/imrd/directdoc.asp?DDFDocuments/u/G/TBTN24/CHN1907.DOCX", "https://docs.wto.org/imrd/directdoc.asp?DDFDocuments/u/G/TBTN24/CHN1907.DOCX")</f>
      </c>
      <c r="Q306" s="6">
        <f>HYPERLINK("https://docs.wto.org/imrd/directdoc.asp?DDFDocuments/v/G/TBTN24/CHN1907.DOCX", "https://docs.wto.org/imrd/directdoc.asp?DDFDocuments/v/G/TBTN24/CHN1907.DOCX")</f>
      </c>
    </row>
    <row r="307">
      <c r="A307" s="6" t="s">
        <v>1076</v>
      </c>
      <c r="B307" s="7">
        <v>45531</v>
      </c>
      <c r="C307" s="6">
        <f>HYPERLINK("https://eping.wto.org/en/Search?viewData= G/TBT/N/CHN/1906"," G/TBT/N/CHN/1906")</f>
      </c>
      <c r="D307" s="8" t="s">
        <v>1506</v>
      </c>
      <c r="E307" s="8" t="s">
        <v>1507</v>
      </c>
      <c r="F307" s="8" t="s">
        <v>1508</v>
      </c>
      <c r="G307" s="6" t="s">
        <v>1455</v>
      </c>
      <c r="H307" s="6" t="s">
        <v>1456</v>
      </c>
      <c r="I307" s="6" t="s">
        <v>245</v>
      </c>
      <c r="J307" s="6" t="s">
        <v>40</v>
      </c>
      <c r="K307" s="6"/>
      <c r="L307" s="7">
        <v>45591</v>
      </c>
      <c r="M307" s="6" t="s">
        <v>25</v>
      </c>
      <c r="N307" s="8" t="s">
        <v>1509</v>
      </c>
      <c r="O307" s="6">
        <f>HYPERLINK("https://docs.wto.org/imrd/directdoc.asp?DDFDocuments/t/G/TBTN24/CHN1906.DOCX", "https://docs.wto.org/imrd/directdoc.asp?DDFDocuments/t/G/TBTN24/CHN1906.DOCX")</f>
      </c>
      <c r="P307" s="6">
        <f>HYPERLINK("https://docs.wto.org/imrd/directdoc.asp?DDFDocuments/u/G/TBTN24/CHN1906.DOCX", "https://docs.wto.org/imrd/directdoc.asp?DDFDocuments/u/G/TBTN24/CHN1906.DOCX")</f>
      </c>
      <c r="Q307" s="6">
        <f>HYPERLINK("https://docs.wto.org/imrd/directdoc.asp?DDFDocuments/v/G/TBTN24/CHN1906.DOCX", "https://docs.wto.org/imrd/directdoc.asp?DDFDocuments/v/G/TBTN24/CHN1906.DOCX")</f>
      </c>
    </row>
    <row r="308">
      <c r="A308" s="6" t="s">
        <v>115</v>
      </c>
      <c r="B308" s="7">
        <v>45530</v>
      </c>
      <c r="C308" s="6">
        <f>HYPERLINK("https://eping.wto.org/en/Search?viewData= G/SPS/N/BRA/2326"," G/SPS/N/BRA/2326")</f>
      </c>
      <c r="D308" s="8" t="s">
        <v>1510</v>
      </c>
      <c r="E308" s="8" t="s">
        <v>1511</v>
      </c>
      <c r="F308" s="8" t="s">
        <v>1512</v>
      </c>
      <c r="G308" s="6" t="s">
        <v>1513</v>
      </c>
      <c r="H308" s="6" t="s">
        <v>40</v>
      </c>
      <c r="I308" s="6" t="s">
        <v>184</v>
      </c>
      <c r="J308" s="6" t="s">
        <v>410</v>
      </c>
      <c r="K308" s="6" t="s">
        <v>136</v>
      </c>
      <c r="L308" s="7">
        <v>45590</v>
      </c>
      <c r="M308" s="6" t="s">
        <v>25</v>
      </c>
      <c r="N308" s="8" t="s">
        <v>1514</v>
      </c>
      <c r="O308" s="6">
        <f>HYPERLINK("https://docs.wto.org/imrd/directdoc.asp?DDFDocuments/t/G/SPS/NBRA2326.DOCX", "https://docs.wto.org/imrd/directdoc.asp?DDFDocuments/t/G/SPS/NBRA2326.DOCX")</f>
      </c>
      <c r="P308" s="6">
        <f>HYPERLINK("https://docs.wto.org/imrd/directdoc.asp?DDFDocuments/u/G/SPS/NBRA2326.DOCX", "https://docs.wto.org/imrd/directdoc.asp?DDFDocuments/u/G/SPS/NBRA2326.DOCX")</f>
      </c>
      <c r="Q308" s="6">
        <f>HYPERLINK("https://docs.wto.org/imrd/directdoc.asp?DDFDocuments/v/G/SPS/NBRA2326.DOCX", "https://docs.wto.org/imrd/directdoc.asp?DDFDocuments/v/G/SPS/NBRA2326.DOCX")</f>
      </c>
    </row>
    <row r="309">
      <c r="A309" s="6" t="s">
        <v>99</v>
      </c>
      <c r="B309" s="7">
        <v>45530</v>
      </c>
      <c r="C309" s="6">
        <f>HYPERLINK("https://eping.wto.org/en/Search?viewData= G/SPS/N/AUS/597"," G/SPS/N/AUS/597")</f>
      </c>
      <c r="D309" s="8" t="s">
        <v>1515</v>
      </c>
      <c r="E309" s="8" t="s">
        <v>1516</v>
      </c>
      <c r="F309" s="8" t="s">
        <v>1517</v>
      </c>
      <c r="G309" s="6" t="s">
        <v>1518</v>
      </c>
      <c r="H309" s="6" t="s">
        <v>40</v>
      </c>
      <c r="I309" s="6" t="s">
        <v>353</v>
      </c>
      <c r="J309" s="6" t="s">
        <v>915</v>
      </c>
      <c r="K309" s="6" t="s">
        <v>40</v>
      </c>
      <c r="L309" s="7">
        <v>45590</v>
      </c>
      <c r="M309" s="6" t="s">
        <v>25</v>
      </c>
      <c r="N309" s="8" t="s">
        <v>1519</v>
      </c>
      <c r="O309" s="6">
        <f>HYPERLINK("https://docs.wto.org/imrd/directdoc.asp?DDFDocuments/t/G/SPS/NAUS597.DOCX", "https://docs.wto.org/imrd/directdoc.asp?DDFDocuments/t/G/SPS/NAUS597.DOCX")</f>
      </c>
      <c r="P309" s="6">
        <f>HYPERLINK("https://docs.wto.org/imrd/directdoc.asp?DDFDocuments/u/G/SPS/NAUS597.DOCX", "https://docs.wto.org/imrd/directdoc.asp?DDFDocuments/u/G/SPS/NAUS597.DOCX")</f>
      </c>
      <c r="Q309" s="6">
        <f>HYPERLINK("https://docs.wto.org/imrd/directdoc.asp?DDFDocuments/v/G/SPS/NAUS597.DOCX", "https://docs.wto.org/imrd/directdoc.asp?DDFDocuments/v/G/SPS/NAUS597.DOCX")</f>
      </c>
    </row>
    <row r="310">
      <c r="A310" s="6" t="s">
        <v>180</v>
      </c>
      <c r="B310" s="7">
        <v>45530</v>
      </c>
      <c r="C310" s="6">
        <f>HYPERLINK("https://eping.wto.org/en/Search?viewData= G/TBT/N/CRI/202"," G/TBT/N/CRI/202")</f>
      </c>
      <c r="D310" s="8" t="s">
        <v>1520</v>
      </c>
      <c r="E310" s="8" t="s">
        <v>1521</v>
      </c>
      <c r="F310" s="8" t="s">
        <v>1522</v>
      </c>
      <c r="G310" s="6" t="s">
        <v>1523</v>
      </c>
      <c r="H310" s="6" t="s">
        <v>1524</v>
      </c>
      <c r="I310" s="6" t="s">
        <v>213</v>
      </c>
      <c r="J310" s="6" t="s">
        <v>40</v>
      </c>
      <c r="K310" s="6"/>
      <c r="L310" s="7" t="s">
        <v>40</v>
      </c>
      <c r="M310" s="6" t="s">
        <v>25</v>
      </c>
      <c r="N310" s="8" t="s">
        <v>1525</v>
      </c>
      <c r="O310" s="6">
        <f>HYPERLINK("https://docs.wto.org/imrd/directdoc.asp?DDFDocuments/t/G/TBTN24/CRI202.DOCX", "https://docs.wto.org/imrd/directdoc.asp?DDFDocuments/t/G/TBTN24/CRI202.DOCX")</f>
      </c>
      <c r="P310" s="6">
        <f>HYPERLINK("https://docs.wto.org/imrd/directdoc.asp?DDFDocuments/u/G/TBTN24/CRI202.DOCX", "https://docs.wto.org/imrd/directdoc.asp?DDFDocuments/u/G/TBTN24/CRI202.DOCX")</f>
      </c>
      <c r="Q310" s="6">
        <f>HYPERLINK("https://docs.wto.org/imrd/directdoc.asp?DDFDocuments/v/G/TBTN24/CRI202.DOCX", "https://docs.wto.org/imrd/directdoc.asp?DDFDocuments/v/G/TBTN24/CRI202.DOCX")</f>
      </c>
    </row>
    <row r="311">
      <c r="A311" s="6" t="s">
        <v>115</v>
      </c>
      <c r="B311" s="7">
        <v>45530</v>
      </c>
      <c r="C311" s="6">
        <f>HYPERLINK("https://eping.wto.org/en/Search?viewData= G/SPS/N/BRA/2325"," G/SPS/N/BRA/2325")</f>
      </c>
      <c r="D311" s="8" t="s">
        <v>1526</v>
      </c>
      <c r="E311" s="8" t="s">
        <v>1527</v>
      </c>
      <c r="F311" s="8" t="s">
        <v>1528</v>
      </c>
      <c r="G311" s="6" t="s">
        <v>1529</v>
      </c>
      <c r="H311" s="6" t="s">
        <v>40</v>
      </c>
      <c r="I311" s="6" t="s">
        <v>184</v>
      </c>
      <c r="J311" s="6" t="s">
        <v>1075</v>
      </c>
      <c r="K311" s="6" t="s">
        <v>373</v>
      </c>
      <c r="L311" s="7">
        <v>45590</v>
      </c>
      <c r="M311" s="6" t="s">
        <v>25</v>
      </c>
      <c r="N311" s="8" t="s">
        <v>1530</v>
      </c>
      <c r="O311" s="6">
        <f>HYPERLINK("https://docs.wto.org/imrd/directdoc.asp?DDFDocuments/t/G/SPS/NBRA2325.DOCX", "https://docs.wto.org/imrd/directdoc.asp?DDFDocuments/t/G/SPS/NBRA2325.DOCX")</f>
      </c>
      <c r="P311" s="6">
        <f>HYPERLINK("https://docs.wto.org/imrd/directdoc.asp?DDFDocuments/u/G/SPS/NBRA2325.DOCX", "https://docs.wto.org/imrd/directdoc.asp?DDFDocuments/u/G/SPS/NBRA2325.DOCX")</f>
      </c>
      <c r="Q311" s="6">
        <f>HYPERLINK("https://docs.wto.org/imrd/directdoc.asp?DDFDocuments/v/G/SPS/NBRA2325.DOCX", "https://docs.wto.org/imrd/directdoc.asp?DDFDocuments/v/G/SPS/NBRA2325.DOCX")</f>
      </c>
    </row>
    <row r="312">
      <c r="A312" s="6" t="s">
        <v>115</v>
      </c>
      <c r="B312" s="7">
        <v>45530</v>
      </c>
      <c r="C312" s="6">
        <f>HYPERLINK("https://eping.wto.org/en/Search?viewData= G/SPS/N/BRA/2302/Add.1"," G/SPS/N/BRA/2302/Add.1")</f>
      </c>
      <c r="D312" s="8" t="s">
        <v>1531</v>
      </c>
      <c r="E312" s="8" t="s">
        <v>1532</v>
      </c>
      <c r="F312" s="8" t="s">
        <v>233</v>
      </c>
      <c r="G312" s="6" t="s">
        <v>40</v>
      </c>
      <c r="H312" s="6" t="s">
        <v>398</v>
      </c>
      <c r="I312" s="6" t="s">
        <v>38</v>
      </c>
      <c r="J312" s="6" t="s">
        <v>1533</v>
      </c>
      <c r="K312" s="6"/>
      <c r="L312" s="7">
        <v>45590</v>
      </c>
      <c r="M312" s="6" t="s">
        <v>76</v>
      </c>
      <c r="N312" s="8" t="s">
        <v>1534</v>
      </c>
      <c r="O312" s="6">
        <f>HYPERLINK("https://docs.wto.org/imrd/directdoc.asp?DDFDocuments/t/G/SPS/NBRA2302A1.DOCX", "https://docs.wto.org/imrd/directdoc.asp?DDFDocuments/t/G/SPS/NBRA2302A1.DOCX")</f>
      </c>
      <c r="P312" s="6">
        <f>HYPERLINK("https://docs.wto.org/imrd/directdoc.asp?DDFDocuments/u/G/SPS/NBRA2302A1.DOCX", "https://docs.wto.org/imrd/directdoc.asp?DDFDocuments/u/G/SPS/NBRA2302A1.DOCX")</f>
      </c>
      <c r="Q312" s="6">
        <f>HYPERLINK("https://docs.wto.org/imrd/directdoc.asp?DDFDocuments/v/G/SPS/NBRA2302A1.DOCX", "https://docs.wto.org/imrd/directdoc.asp?DDFDocuments/v/G/SPS/NBRA2302A1.DOCX")</f>
      </c>
    </row>
    <row r="313">
      <c r="A313" s="6" t="s">
        <v>198</v>
      </c>
      <c r="B313" s="7">
        <v>45530</v>
      </c>
      <c r="C313" s="6">
        <f>HYPERLINK("https://eping.wto.org/en/Search?viewData= G/TBT/N/CHL/697"," G/TBT/N/CHL/697")</f>
      </c>
      <c r="D313" s="8" t="s">
        <v>1535</v>
      </c>
      <c r="E313" s="8" t="s">
        <v>1536</v>
      </c>
      <c r="F313" s="8" t="s">
        <v>1537</v>
      </c>
      <c r="G313" s="6" t="s">
        <v>40</v>
      </c>
      <c r="H313" s="6" t="s">
        <v>1538</v>
      </c>
      <c r="I313" s="6" t="s">
        <v>147</v>
      </c>
      <c r="J313" s="6" t="s">
        <v>40</v>
      </c>
      <c r="K313" s="6"/>
      <c r="L313" s="7">
        <v>45572</v>
      </c>
      <c r="M313" s="6" t="s">
        <v>25</v>
      </c>
      <c r="N313" s="8" t="s">
        <v>1539</v>
      </c>
      <c r="O313" s="6">
        <f>HYPERLINK("https://docs.wto.org/imrd/directdoc.asp?DDFDocuments/t/G/TBTN24/CHL697.DOCX", "https://docs.wto.org/imrd/directdoc.asp?DDFDocuments/t/G/TBTN24/CHL697.DOCX")</f>
      </c>
      <c r="P313" s="6">
        <f>HYPERLINK("https://docs.wto.org/imrd/directdoc.asp?DDFDocuments/u/G/TBTN24/CHL697.DOCX", "https://docs.wto.org/imrd/directdoc.asp?DDFDocuments/u/G/TBTN24/CHL697.DOCX")</f>
      </c>
      <c r="Q313" s="6">
        <f>HYPERLINK("https://docs.wto.org/imrd/directdoc.asp?DDFDocuments/v/G/TBTN24/CHL697.DOCX", "https://docs.wto.org/imrd/directdoc.asp?DDFDocuments/v/G/TBTN24/CHL697.DOCX")</f>
      </c>
    </row>
    <row r="314">
      <c r="A314" s="6" t="s">
        <v>70</v>
      </c>
      <c r="B314" s="7">
        <v>45530</v>
      </c>
      <c r="C314" s="6">
        <f>HYPERLINK("https://eping.wto.org/en/Search?viewData= G/TBT/N/UKR/305"," G/TBT/N/UKR/305")</f>
      </c>
      <c r="D314" s="8" t="s">
        <v>1540</v>
      </c>
      <c r="E314" s="8" t="s">
        <v>1541</v>
      </c>
      <c r="F314" s="8" t="s">
        <v>1542</v>
      </c>
      <c r="G314" s="6" t="s">
        <v>40</v>
      </c>
      <c r="H314" s="6" t="s">
        <v>1543</v>
      </c>
      <c r="I314" s="6" t="s">
        <v>1544</v>
      </c>
      <c r="J314" s="6" t="s">
        <v>40</v>
      </c>
      <c r="K314" s="6"/>
      <c r="L314" s="7">
        <v>45590</v>
      </c>
      <c r="M314" s="6" t="s">
        <v>25</v>
      </c>
      <c r="N314" s="8" t="s">
        <v>1545</v>
      </c>
      <c r="O314" s="6">
        <f>HYPERLINK("https://docs.wto.org/imrd/directdoc.asp?DDFDocuments/t/G/TBTN24/UKR305.DOCX", "https://docs.wto.org/imrd/directdoc.asp?DDFDocuments/t/G/TBTN24/UKR305.DOCX")</f>
      </c>
      <c r="P314" s="6">
        <f>HYPERLINK("https://docs.wto.org/imrd/directdoc.asp?DDFDocuments/u/G/TBTN24/UKR305.DOCX", "https://docs.wto.org/imrd/directdoc.asp?DDFDocuments/u/G/TBTN24/UKR305.DOCX")</f>
      </c>
      <c r="Q314" s="6">
        <f>HYPERLINK("https://docs.wto.org/imrd/directdoc.asp?DDFDocuments/v/G/TBTN24/UKR305.DOCX", "https://docs.wto.org/imrd/directdoc.asp?DDFDocuments/v/G/TBTN24/UKR305.DOCX")</f>
      </c>
    </row>
    <row r="315">
      <c r="A315" s="6" t="s">
        <v>160</v>
      </c>
      <c r="B315" s="7">
        <v>45530</v>
      </c>
      <c r="C315" s="6">
        <f>HYPERLINK("https://eping.wto.org/en/Search?viewData= G/TBT/N/USA/2140"," G/TBT/N/USA/2140")</f>
      </c>
      <c r="D315" s="8" t="s">
        <v>1546</v>
      </c>
      <c r="E315" s="8" t="s">
        <v>1547</v>
      </c>
      <c r="F315" s="8" t="s">
        <v>1548</v>
      </c>
      <c r="G315" s="6" t="s">
        <v>40</v>
      </c>
      <c r="H315" s="6" t="s">
        <v>1549</v>
      </c>
      <c r="I315" s="6" t="s">
        <v>1113</v>
      </c>
      <c r="J315" s="6" t="s">
        <v>40</v>
      </c>
      <c r="K315" s="6"/>
      <c r="L315" s="7">
        <v>45558</v>
      </c>
      <c r="M315" s="6" t="s">
        <v>25</v>
      </c>
      <c r="N315" s="8" t="s">
        <v>1550</v>
      </c>
      <c r="O315" s="6">
        <f>HYPERLINK("https://docs.wto.org/imrd/directdoc.asp?DDFDocuments/t/G/TBTN24/USA2140.DOCX", "https://docs.wto.org/imrd/directdoc.asp?DDFDocuments/t/G/TBTN24/USA2140.DOCX")</f>
      </c>
      <c r="P315" s="6">
        <f>HYPERLINK("https://docs.wto.org/imrd/directdoc.asp?DDFDocuments/u/G/TBTN24/USA2140.DOCX", "https://docs.wto.org/imrd/directdoc.asp?DDFDocuments/u/G/TBTN24/USA2140.DOCX")</f>
      </c>
      <c r="Q315" s="6">
        <f>HYPERLINK("https://docs.wto.org/imrd/directdoc.asp?DDFDocuments/v/G/TBTN24/USA2140.DOCX", "https://docs.wto.org/imrd/directdoc.asp?DDFDocuments/v/G/TBTN24/USA2140.DOCX")</f>
      </c>
    </row>
    <row r="316">
      <c r="A316" s="6" t="s">
        <v>198</v>
      </c>
      <c r="B316" s="7">
        <v>45530</v>
      </c>
      <c r="C316" s="6">
        <f>HYPERLINK("https://eping.wto.org/en/Search?viewData= G/SPS/N/CHL/800"," G/SPS/N/CHL/800")</f>
      </c>
      <c r="D316" s="8" t="s">
        <v>1551</v>
      </c>
      <c r="E316" s="8" t="s">
        <v>1552</v>
      </c>
      <c r="F316" s="8" t="s">
        <v>1553</v>
      </c>
      <c r="G316" s="6" t="s">
        <v>1554</v>
      </c>
      <c r="H316" s="6" t="s">
        <v>40</v>
      </c>
      <c r="I316" s="6" t="s">
        <v>369</v>
      </c>
      <c r="J316" s="6" t="s">
        <v>370</v>
      </c>
      <c r="K316" s="6" t="s">
        <v>89</v>
      </c>
      <c r="L316" s="7">
        <v>45590</v>
      </c>
      <c r="M316" s="6" t="s">
        <v>25</v>
      </c>
      <c r="N316" s="8" t="s">
        <v>1555</v>
      </c>
      <c r="O316" s="6">
        <f>HYPERLINK("https://docs.wto.org/imrd/directdoc.asp?DDFDocuments/t/G/SPS/NCHL800.DOCX", "https://docs.wto.org/imrd/directdoc.asp?DDFDocuments/t/G/SPS/NCHL800.DOCX")</f>
      </c>
      <c r="P316" s="6">
        <f>HYPERLINK("https://docs.wto.org/imrd/directdoc.asp?DDFDocuments/u/G/SPS/NCHL800.DOCX", "https://docs.wto.org/imrd/directdoc.asp?DDFDocuments/u/G/SPS/NCHL800.DOCX")</f>
      </c>
      <c r="Q316" s="6">
        <f>HYPERLINK("https://docs.wto.org/imrd/directdoc.asp?DDFDocuments/v/G/SPS/NCHL800.DOCX", "https://docs.wto.org/imrd/directdoc.asp?DDFDocuments/v/G/SPS/NCHL800.DOCX")</f>
      </c>
    </row>
    <row r="317">
      <c r="A317" s="6" t="s">
        <v>198</v>
      </c>
      <c r="B317" s="7">
        <v>45530</v>
      </c>
      <c r="C317" s="6">
        <f>HYPERLINK("https://eping.wto.org/en/Search?viewData= G/TBT/N/CHL/698"," G/TBT/N/CHL/698")</f>
      </c>
      <c r="D317" s="8" t="s">
        <v>1556</v>
      </c>
      <c r="E317" s="8" t="s">
        <v>1557</v>
      </c>
      <c r="F317" s="8" t="s">
        <v>1558</v>
      </c>
      <c r="G317" s="6" t="s">
        <v>40</v>
      </c>
      <c r="H317" s="6" t="s">
        <v>1559</v>
      </c>
      <c r="I317" s="6" t="s">
        <v>165</v>
      </c>
      <c r="J317" s="6" t="s">
        <v>40</v>
      </c>
      <c r="K317" s="6"/>
      <c r="L317" s="7">
        <v>45590</v>
      </c>
      <c r="M317" s="6" t="s">
        <v>25</v>
      </c>
      <c r="N317" s="8" t="s">
        <v>1560</v>
      </c>
      <c r="O317" s="6">
        <f>HYPERLINK("https://docs.wto.org/imrd/directdoc.asp?DDFDocuments/t/G/TBTN24/CHL698.DOCX", "https://docs.wto.org/imrd/directdoc.asp?DDFDocuments/t/G/TBTN24/CHL698.DOCX")</f>
      </c>
      <c r="P317" s="6">
        <f>HYPERLINK("https://docs.wto.org/imrd/directdoc.asp?DDFDocuments/u/G/TBTN24/CHL698.DOCX", "https://docs.wto.org/imrd/directdoc.asp?DDFDocuments/u/G/TBTN24/CHL698.DOCX")</f>
      </c>
      <c r="Q317" s="6">
        <f>HYPERLINK("https://docs.wto.org/imrd/directdoc.asp?DDFDocuments/v/G/TBTN24/CHL698.DOCX", "https://docs.wto.org/imrd/directdoc.asp?DDFDocuments/v/G/TBTN24/CHL698.DOCX")</f>
      </c>
    </row>
    <row r="318">
      <c r="A318" s="6" t="s">
        <v>419</v>
      </c>
      <c r="B318" s="7">
        <v>45527</v>
      </c>
      <c r="C318" s="6">
        <f>HYPERLINK("https://eping.wto.org/en/Search?viewData= G/SPS/N/JPN/1271"," G/SPS/N/JPN/1271")</f>
      </c>
      <c r="D318" s="8" t="s">
        <v>1561</v>
      </c>
      <c r="E318" s="8" t="s">
        <v>1562</v>
      </c>
      <c r="F318" s="8" t="s">
        <v>1563</v>
      </c>
      <c r="G318" s="6" t="s">
        <v>1564</v>
      </c>
      <c r="H318" s="6" t="s">
        <v>40</v>
      </c>
      <c r="I318" s="6" t="s">
        <v>353</v>
      </c>
      <c r="J318" s="6" t="s">
        <v>1565</v>
      </c>
      <c r="K318" s="6" t="s">
        <v>160</v>
      </c>
      <c r="L318" s="7" t="s">
        <v>40</v>
      </c>
      <c r="M318" s="6" t="s">
        <v>356</v>
      </c>
      <c r="N318" s="8" t="s">
        <v>1566</v>
      </c>
      <c r="O318" s="6">
        <f>HYPERLINK("https://docs.wto.org/imrd/directdoc.asp?DDFDocuments/t/G/SPS/NJPN1271.DOCX", "https://docs.wto.org/imrd/directdoc.asp?DDFDocuments/t/G/SPS/NJPN1271.DOCX")</f>
      </c>
      <c r="P318" s="6">
        <f>HYPERLINK("https://docs.wto.org/imrd/directdoc.asp?DDFDocuments/u/G/SPS/NJPN1271.DOCX", "https://docs.wto.org/imrd/directdoc.asp?DDFDocuments/u/G/SPS/NJPN1271.DOCX")</f>
      </c>
      <c r="Q318" s="6">
        <f>HYPERLINK("https://docs.wto.org/imrd/directdoc.asp?DDFDocuments/v/G/SPS/NJPN1271.DOCX", "https://docs.wto.org/imrd/directdoc.asp?DDFDocuments/v/G/SPS/NJPN1271.DOCX")</f>
      </c>
    </row>
    <row r="319">
      <c r="A319" s="6" t="s">
        <v>392</v>
      </c>
      <c r="B319" s="7">
        <v>45527</v>
      </c>
      <c r="C319" s="6">
        <f>HYPERLINK("https://eping.wto.org/en/Search?viewData= G/TBT/N/ARE/623, G/TBT/N/BHR/708, G/TBT/N/KWT/687, G/TBT/N/OMN/532, G/TBT/N/QAT/683, G/TBT/N/SAU/1351, G/TBT/N/YEM/289"," G/TBT/N/ARE/623, G/TBT/N/BHR/708, G/TBT/N/KWT/687, G/TBT/N/OMN/532, G/TBT/N/QAT/683, G/TBT/N/SAU/1351, G/TBT/N/YEM/289")</f>
      </c>
      <c r="D319" s="8" t="s">
        <v>1567</v>
      </c>
      <c r="E319" s="8" t="s">
        <v>1568</v>
      </c>
      <c r="F319" s="8" t="s">
        <v>29</v>
      </c>
      <c r="G319" s="6" t="s">
        <v>40</v>
      </c>
      <c r="H319" s="6" t="s">
        <v>31</v>
      </c>
      <c r="I319" s="6" t="s">
        <v>572</v>
      </c>
      <c r="J319" s="6" t="s">
        <v>24</v>
      </c>
      <c r="K319" s="6"/>
      <c r="L319" s="7">
        <v>45587</v>
      </c>
      <c r="M319" s="6" t="s">
        <v>25</v>
      </c>
      <c r="N319" s="8" t="s">
        <v>1569</v>
      </c>
      <c r="O319" s="6">
        <f>HYPERLINK("https://docs.wto.org/imrd/directdoc.asp?DDFDocuments/t/G/TBTN24/ARE623.DOCX", "https://docs.wto.org/imrd/directdoc.asp?DDFDocuments/t/G/TBTN24/ARE623.DOCX")</f>
      </c>
      <c r="P319" s="6">
        <f>HYPERLINK("https://docs.wto.org/imrd/directdoc.asp?DDFDocuments/u/G/TBTN24/ARE623.DOCX", "https://docs.wto.org/imrd/directdoc.asp?DDFDocuments/u/G/TBTN24/ARE623.DOCX")</f>
      </c>
      <c r="Q319" s="6">
        <f>HYPERLINK("https://docs.wto.org/imrd/directdoc.asp?DDFDocuments/v/G/TBTN24/ARE623.DOCX", "https://docs.wto.org/imrd/directdoc.asp?DDFDocuments/v/G/TBTN24/ARE623.DOCX")</f>
      </c>
    </row>
    <row r="320">
      <c r="A320" s="6" t="s">
        <v>160</v>
      </c>
      <c r="B320" s="7">
        <v>45527</v>
      </c>
      <c r="C320" s="6">
        <f>HYPERLINK("https://eping.wto.org/en/Search?viewData= G/TBT/N/USA/1666/Add.1"," G/TBT/N/USA/1666/Add.1")</f>
      </c>
      <c r="D320" s="8" t="s">
        <v>1570</v>
      </c>
      <c r="E320" s="8" t="s">
        <v>1571</v>
      </c>
      <c r="F320" s="8" t="s">
        <v>1572</v>
      </c>
      <c r="G320" s="6" t="s">
        <v>40</v>
      </c>
      <c r="H320" s="6" t="s">
        <v>1573</v>
      </c>
      <c r="I320" s="6" t="s">
        <v>147</v>
      </c>
      <c r="J320" s="6" t="s">
        <v>40</v>
      </c>
      <c r="K320" s="6"/>
      <c r="L320" s="7" t="s">
        <v>40</v>
      </c>
      <c r="M320" s="6" t="s">
        <v>76</v>
      </c>
      <c r="N320" s="8" t="s">
        <v>1574</v>
      </c>
      <c r="O320" s="6">
        <f>HYPERLINK("https://docs.wto.org/imrd/directdoc.asp?DDFDocuments/t/G/TBTN20/USA1666A1.DOCX", "https://docs.wto.org/imrd/directdoc.asp?DDFDocuments/t/G/TBTN20/USA1666A1.DOCX")</f>
      </c>
      <c r="P320" s="6">
        <f>HYPERLINK("https://docs.wto.org/imrd/directdoc.asp?DDFDocuments/u/G/TBTN20/USA1666A1.DOCX", "https://docs.wto.org/imrd/directdoc.asp?DDFDocuments/u/G/TBTN20/USA1666A1.DOCX")</f>
      </c>
      <c r="Q320" s="6">
        <f>HYPERLINK("https://docs.wto.org/imrd/directdoc.asp?DDFDocuments/v/G/TBTN20/USA1666A1.DOCX", "https://docs.wto.org/imrd/directdoc.asp?DDFDocuments/v/G/TBTN20/USA1666A1.DOCX")</f>
      </c>
    </row>
    <row r="321">
      <c r="A321" s="6" t="s">
        <v>160</v>
      </c>
      <c r="B321" s="7">
        <v>45527</v>
      </c>
      <c r="C321" s="6">
        <f>HYPERLINK("https://eping.wto.org/en/Search?viewData= G/SPS/N/USA/3471"," G/SPS/N/USA/3471")</f>
      </c>
      <c r="D321" s="8" t="s">
        <v>1575</v>
      </c>
      <c r="E321" s="8" t="s">
        <v>1576</v>
      </c>
      <c r="F321" s="8" t="s">
        <v>479</v>
      </c>
      <c r="G321" s="6" t="s">
        <v>40</v>
      </c>
      <c r="H321" s="6" t="s">
        <v>40</v>
      </c>
      <c r="I321" s="6" t="s">
        <v>38</v>
      </c>
      <c r="J321" s="6" t="s">
        <v>103</v>
      </c>
      <c r="K321" s="6"/>
      <c r="L321" s="7">
        <v>45555</v>
      </c>
      <c r="M321" s="6" t="s">
        <v>25</v>
      </c>
      <c r="N321" s="8" t="s">
        <v>1577</v>
      </c>
      <c r="O321" s="6">
        <f>HYPERLINK("https://docs.wto.org/imrd/directdoc.asp?DDFDocuments/t/G/SPS/NUSA3471.DOCX", "https://docs.wto.org/imrd/directdoc.asp?DDFDocuments/t/G/SPS/NUSA3471.DOCX")</f>
      </c>
      <c r="P321" s="6">
        <f>HYPERLINK("https://docs.wto.org/imrd/directdoc.asp?DDFDocuments/u/G/SPS/NUSA3471.DOCX", "https://docs.wto.org/imrd/directdoc.asp?DDFDocuments/u/G/SPS/NUSA3471.DOCX")</f>
      </c>
      <c r="Q321" s="6">
        <f>HYPERLINK("https://docs.wto.org/imrd/directdoc.asp?DDFDocuments/v/G/SPS/NUSA3471.DOCX", "https://docs.wto.org/imrd/directdoc.asp?DDFDocuments/v/G/SPS/NUSA3471.DOCX")</f>
      </c>
    </row>
    <row r="322">
      <c r="A322" s="6" t="s">
        <v>344</v>
      </c>
      <c r="B322" s="7">
        <v>45527</v>
      </c>
      <c r="C322" s="6">
        <f>HYPERLINK("https://eping.wto.org/en/Search?viewData= G/TBT/N/ARE/623, G/TBT/N/BHR/708, G/TBT/N/KWT/687, G/TBT/N/OMN/532, G/TBT/N/QAT/683, G/TBT/N/SAU/1351, G/TBT/N/YEM/289"," G/TBT/N/ARE/623, G/TBT/N/BHR/708, G/TBT/N/KWT/687, G/TBT/N/OMN/532, G/TBT/N/QAT/683, G/TBT/N/SAU/1351, G/TBT/N/YEM/289")</f>
      </c>
      <c r="D322" s="8" t="s">
        <v>1567</v>
      </c>
      <c r="E322" s="8" t="s">
        <v>1568</v>
      </c>
      <c r="F322" s="8" t="s">
        <v>29</v>
      </c>
      <c r="G322" s="6" t="s">
        <v>40</v>
      </c>
      <c r="H322" s="6" t="s">
        <v>31</v>
      </c>
      <c r="I322" s="6" t="s">
        <v>572</v>
      </c>
      <c r="J322" s="6" t="s">
        <v>24</v>
      </c>
      <c r="K322" s="6"/>
      <c r="L322" s="7">
        <v>45587</v>
      </c>
      <c r="M322" s="6" t="s">
        <v>25</v>
      </c>
      <c r="N322" s="8" t="s">
        <v>1569</v>
      </c>
      <c r="O322" s="6">
        <f>HYPERLINK("https://docs.wto.org/imrd/directdoc.asp?DDFDocuments/t/G/TBTN24/ARE623.DOCX", "https://docs.wto.org/imrd/directdoc.asp?DDFDocuments/t/G/TBTN24/ARE623.DOCX")</f>
      </c>
      <c r="P322" s="6">
        <f>HYPERLINK("https://docs.wto.org/imrd/directdoc.asp?DDFDocuments/u/G/TBTN24/ARE623.DOCX", "https://docs.wto.org/imrd/directdoc.asp?DDFDocuments/u/G/TBTN24/ARE623.DOCX")</f>
      </c>
      <c r="Q322" s="6">
        <f>HYPERLINK("https://docs.wto.org/imrd/directdoc.asp?DDFDocuments/v/G/TBTN24/ARE623.DOCX", "https://docs.wto.org/imrd/directdoc.asp?DDFDocuments/v/G/TBTN24/ARE623.DOCX")</f>
      </c>
    </row>
    <row r="323">
      <c r="A323" s="6" t="s">
        <v>393</v>
      </c>
      <c r="B323" s="7">
        <v>45527</v>
      </c>
      <c r="C323" s="6">
        <f>HYPERLINK("https://eping.wto.org/en/Search?viewData= G/TBT/N/ARE/623, G/TBT/N/BHR/708, G/TBT/N/KWT/687, G/TBT/N/OMN/532, G/TBT/N/QAT/683, G/TBT/N/SAU/1351, G/TBT/N/YEM/289"," G/TBT/N/ARE/623, G/TBT/N/BHR/708, G/TBT/N/KWT/687, G/TBT/N/OMN/532, G/TBT/N/QAT/683, G/TBT/N/SAU/1351, G/TBT/N/YEM/289")</f>
      </c>
      <c r="D323" s="8" t="s">
        <v>1567</v>
      </c>
      <c r="E323" s="8" t="s">
        <v>1568</v>
      </c>
      <c r="F323" s="8" t="s">
        <v>29</v>
      </c>
      <c r="G323" s="6" t="s">
        <v>40</v>
      </c>
      <c r="H323" s="6" t="s">
        <v>31</v>
      </c>
      <c r="I323" s="6" t="s">
        <v>572</v>
      </c>
      <c r="J323" s="6" t="s">
        <v>24</v>
      </c>
      <c r="K323" s="6"/>
      <c r="L323" s="7">
        <v>45587</v>
      </c>
      <c r="M323" s="6" t="s">
        <v>25</v>
      </c>
      <c r="N323" s="8" t="s">
        <v>1569</v>
      </c>
      <c r="O323" s="6">
        <f>HYPERLINK("https://docs.wto.org/imrd/directdoc.asp?DDFDocuments/t/G/TBTN24/ARE623.DOCX", "https://docs.wto.org/imrd/directdoc.asp?DDFDocuments/t/G/TBTN24/ARE623.DOCX")</f>
      </c>
      <c r="P323" s="6">
        <f>HYPERLINK("https://docs.wto.org/imrd/directdoc.asp?DDFDocuments/u/G/TBTN24/ARE623.DOCX", "https://docs.wto.org/imrd/directdoc.asp?DDFDocuments/u/G/TBTN24/ARE623.DOCX")</f>
      </c>
      <c r="Q323" s="6">
        <f>HYPERLINK("https://docs.wto.org/imrd/directdoc.asp?DDFDocuments/v/G/TBTN24/ARE623.DOCX", "https://docs.wto.org/imrd/directdoc.asp?DDFDocuments/v/G/TBTN24/ARE623.DOCX")</f>
      </c>
    </row>
    <row r="324">
      <c r="A324" s="6" t="s">
        <v>160</v>
      </c>
      <c r="B324" s="7">
        <v>45527</v>
      </c>
      <c r="C324" s="6">
        <f>HYPERLINK("https://eping.wto.org/en/Search?viewData= G/TBT/N/USA/2069/Add.1"," G/TBT/N/USA/2069/Add.1")</f>
      </c>
      <c r="D324" s="8" t="s">
        <v>1578</v>
      </c>
      <c r="E324" s="8" t="s">
        <v>1579</v>
      </c>
      <c r="F324" s="8" t="s">
        <v>1580</v>
      </c>
      <c r="G324" s="6" t="s">
        <v>40</v>
      </c>
      <c r="H324" s="6" t="s">
        <v>1581</v>
      </c>
      <c r="I324" s="6" t="s">
        <v>147</v>
      </c>
      <c r="J324" s="6" t="s">
        <v>40</v>
      </c>
      <c r="K324" s="6"/>
      <c r="L324" s="7" t="s">
        <v>40</v>
      </c>
      <c r="M324" s="6" t="s">
        <v>76</v>
      </c>
      <c r="N324" s="8" t="s">
        <v>1582</v>
      </c>
      <c r="O324" s="6">
        <f>HYPERLINK("https://docs.wto.org/imrd/directdoc.asp?DDFDocuments/t/G/TBTN23/USA2069A1.DOCX", "https://docs.wto.org/imrd/directdoc.asp?DDFDocuments/t/G/TBTN23/USA2069A1.DOCX")</f>
      </c>
      <c r="P324" s="6">
        <f>HYPERLINK("https://docs.wto.org/imrd/directdoc.asp?DDFDocuments/u/G/TBTN23/USA2069A1.DOCX", "https://docs.wto.org/imrd/directdoc.asp?DDFDocuments/u/G/TBTN23/USA2069A1.DOCX")</f>
      </c>
      <c r="Q324" s="6">
        <f>HYPERLINK("https://docs.wto.org/imrd/directdoc.asp?DDFDocuments/v/G/TBTN23/USA2069A1.DOCX", "https://docs.wto.org/imrd/directdoc.asp?DDFDocuments/v/G/TBTN23/USA2069A1.DOCX")</f>
      </c>
    </row>
    <row r="325">
      <c r="A325" s="6" t="s">
        <v>160</v>
      </c>
      <c r="B325" s="7">
        <v>45527</v>
      </c>
      <c r="C325" s="6">
        <f>HYPERLINK("https://eping.wto.org/en/Search?viewData= G/TBT/N/USA/2061/Add.1"," G/TBT/N/USA/2061/Add.1")</f>
      </c>
      <c r="D325" s="8" t="s">
        <v>1583</v>
      </c>
      <c r="E325" s="8" t="s">
        <v>1584</v>
      </c>
      <c r="F325" s="8" t="s">
        <v>1585</v>
      </c>
      <c r="G325" s="6" t="s">
        <v>40</v>
      </c>
      <c r="H325" s="6" t="s">
        <v>1586</v>
      </c>
      <c r="I325" s="6" t="s">
        <v>872</v>
      </c>
      <c r="J325" s="6" t="s">
        <v>40</v>
      </c>
      <c r="K325" s="6"/>
      <c r="L325" s="7">
        <v>45558</v>
      </c>
      <c r="M325" s="6" t="s">
        <v>76</v>
      </c>
      <c r="N325" s="8" t="s">
        <v>1587</v>
      </c>
      <c r="O325" s="6">
        <f>HYPERLINK("https://docs.wto.org/imrd/directdoc.asp?DDFDocuments/t/G/TBTN23/USA2061A1.DOCX", "https://docs.wto.org/imrd/directdoc.asp?DDFDocuments/t/G/TBTN23/USA2061A1.DOCX")</f>
      </c>
      <c r="P325" s="6">
        <f>HYPERLINK("https://docs.wto.org/imrd/directdoc.asp?DDFDocuments/u/G/TBTN23/USA2061A1.DOCX", "https://docs.wto.org/imrd/directdoc.asp?DDFDocuments/u/G/TBTN23/USA2061A1.DOCX")</f>
      </c>
      <c r="Q325" s="6">
        <f>HYPERLINK("https://docs.wto.org/imrd/directdoc.asp?DDFDocuments/v/G/TBTN23/USA2061A1.DOCX", "https://docs.wto.org/imrd/directdoc.asp?DDFDocuments/v/G/TBTN23/USA2061A1.DOCX")</f>
      </c>
    </row>
    <row r="326">
      <c r="A326" s="6" t="s">
        <v>391</v>
      </c>
      <c r="B326" s="7">
        <v>45527</v>
      </c>
      <c r="C326" s="6">
        <f>HYPERLINK("https://eping.wto.org/en/Search?viewData= G/TBT/N/ARE/623, G/TBT/N/BHR/708, G/TBT/N/KWT/687, G/TBT/N/OMN/532, G/TBT/N/QAT/683, G/TBT/N/SAU/1351, G/TBT/N/YEM/289"," G/TBT/N/ARE/623, G/TBT/N/BHR/708, G/TBT/N/KWT/687, G/TBT/N/OMN/532, G/TBT/N/QAT/683, G/TBT/N/SAU/1351, G/TBT/N/YEM/289")</f>
      </c>
      <c r="D326" s="8" t="s">
        <v>1567</v>
      </c>
      <c r="E326" s="8" t="s">
        <v>1568</v>
      </c>
      <c r="F326" s="8" t="s">
        <v>29</v>
      </c>
      <c r="G326" s="6" t="s">
        <v>40</v>
      </c>
      <c r="H326" s="6" t="s">
        <v>31</v>
      </c>
      <c r="I326" s="6" t="s">
        <v>572</v>
      </c>
      <c r="J326" s="6" t="s">
        <v>24</v>
      </c>
      <c r="K326" s="6"/>
      <c r="L326" s="7">
        <v>45587</v>
      </c>
      <c r="M326" s="6" t="s">
        <v>25</v>
      </c>
      <c r="N326" s="8" t="s">
        <v>1569</v>
      </c>
      <c r="O326" s="6">
        <f>HYPERLINK("https://docs.wto.org/imrd/directdoc.asp?DDFDocuments/t/G/TBTN24/ARE623.DOCX", "https://docs.wto.org/imrd/directdoc.asp?DDFDocuments/t/G/TBTN24/ARE623.DOCX")</f>
      </c>
      <c r="P326" s="6">
        <f>HYPERLINK("https://docs.wto.org/imrd/directdoc.asp?DDFDocuments/u/G/TBTN24/ARE623.DOCX", "https://docs.wto.org/imrd/directdoc.asp?DDFDocuments/u/G/TBTN24/ARE623.DOCX")</f>
      </c>
      <c r="Q326" s="6">
        <f>HYPERLINK("https://docs.wto.org/imrd/directdoc.asp?DDFDocuments/v/G/TBTN24/ARE623.DOCX", "https://docs.wto.org/imrd/directdoc.asp?DDFDocuments/v/G/TBTN24/ARE623.DOCX")</f>
      </c>
    </row>
    <row r="327">
      <c r="A327" s="6" t="s">
        <v>180</v>
      </c>
      <c r="B327" s="7">
        <v>45527</v>
      </c>
      <c r="C327" s="6">
        <f>HYPERLINK("https://eping.wto.org/en/Search?viewData= G/SPS/N/CRI/263/Add.1"," G/SPS/N/CRI/263/Add.1")</f>
      </c>
      <c r="D327" s="8" t="s">
        <v>1588</v>
      </c>
      <c r="E327" s="8" t="s">
        <v>1588</v>
      </c>
      <c r="F327" s="8" t="s">
        <v>1589</v>
      </c>
      <c r="G327" s="6" t="s">
        <v>40</v>
      </c>
      <c r="H327" s="6" t="s">
        <v>40</v>
      </c>
      <c r="I327" s="6" t="s">
        <v>38</v>
      </c>
      <c r="J327" s="6" t="s">
        <v>1590</v>
      </c>
      <c r="K327" s="6"/>
      <c r="L327" s="7" t="s">
        <v>40</v>
      </c>
      <c r="M327" s="6" t="s">
        <v>76</v>
      </c>
      <c r="N327" s="8" t="s">
        <v>1591</v>
      </c>
      <c r="O327" s="6">
        <f>HYPERLINK("https://docs.wto.org/imrd/directdoc.asp?DDFDocuments/t/G/SPS/NCRI263A1.DOCX", "https://docs.wto.org/imrd/directdoc.asp?DDFDocuments/t/G/SPS/NCRI263A1.DOCX")</f>
      </c>
      <c r="P327" s="6">
        <f>HYPERLINK("https://docs.wto.org/imrd/directdoc.asp?DDFDocuments/u/G/SPS/NCRI263A1.DOCX", "https://docs.wto.org/imrd/directdoc.asp?DDFDocuments/u/G/SPS/NCRI263A1.DOCX")</f>
      </c>
      <c r="Q327" s="6">
        <f>HYPERLINK("https://docs.wto.org/imrd/directdoc.asp?DDFDocuments/v/G/SPS/NCRI263A1.DOCX", "https://docs.wto.org/imrd/directdoc.asp?DDFDocuments/v/G/SPS/NCRI263A1.DOCX")</f>
      </c>
    </row>
    <row r="328">
      <c r="A328" s="6" t="s">
        <v>331</v>
      </c>
      <c r="B328" s="7">
        <v>45527</v>
      </c>
      <c r="C328" s="6">
        <f>HYPERLINK("https://eping.wto.org/en/Search?viewData= G/TBT/N/ARE/623, G/TBT/N/BHR/708, G/TBT/N/KWT/687, G/TBT/N/OMN/532, G/TBT/N/QAT/683, G/TBT/N/SAU/1351, G/TBT/N/YEM/289"," G/TBT/N/ARE/623, G/TBT/N/BHR/708, G/TBT/N/KWT/687, G/TBT/N/OMN/532, G/TBT/N/QAT/683, G/TBT/N/SAU/1351, G/TBT/N/YEM/289")</f>
      </c>
      <c r="D328" s="8" t="s">
        <v>1567</v>
      </c>
      <c r="E328" s="8" t="s">
        <v>1568</v>
      </c>
      <c r="F328" s="8" t="s">
        <v>29</v>
      </c>
      <c r="G328" s="6" t="s">
        <v>40</v>
      </c>
      <c r="H328" s="6" t="s">
        <v>31</v>
      </c>
      <c r="I328" s="6" t="s">
        <v>572</v>
      </c>
      <c r="J328" s="6" t="s">
        <v>24</v>
      </c>
      <c r="K328" s="6"/>
      <c r="L328" s="7">
        <v>45587</v>
      </c>
      <c r="M328" s="6" t="s">
        <v>25</v>
      </c>
      <c r="N328" s="8" t="s">
        <v>1569</v>
      </c>
      <c r="O328" s="6">
        <f>HYPERLINK("https://docs.wto.org/imrd/directdoc.asp?DDFDocuments/t/G/TBTN24/ARE623.DOCX", "https://docs.wto.org/imrd/directdoc.asp?DDFDocuments/t/G/TBTN24/ARE623.DOCX")</f>
      </c>
      <c r="P328" s="6">
        <f>HYPERLINK("https://docs.wto.org/imrd/directdoc.asp?DDFDocuments/u/G/TBTN24/ARE623.DOCX", "https://docs.wto.org/imrd/directdoc.asp?DDFDocuments/u/G/TBTN24/ARE623.DOCX")</f>
      </c>
      <c r="Q328" s="6">
        <f>HYPERLINK("https://docs.wto.org/imrd/directdoc.asp?DDFDocuments/v/G/TBTN24/ARE623.DOCX", "https://docs.wto.org/imrd/directdoc.asp?DDFDocuments/v/G/TBTN24/ARE623.DOCX")</f>
      </c>
    </row>
    <row r="329">
      <c r="A329" s="6" t="s">
        <v>136</v>
      </c>
      <c r="B329" s="7">
        <v>45527</v>
      </c>
      <c r="C329" s="6">
        <f>HYPERLINK("https://eping.wto.org/en/Search?viewData= G/SPS/N/PER/1056"," G/SPS/N/PER/1056")</f>
      </c>
      <c r="D329" s="8" t="s">
        <v>1592</v>
      </c>
      <c r="E329" s="8" t="s">
        <v>1593</v>
      </c>
      <c r="F329" s="8" t="s">
        <v>1594</v>
      </c>
      <c r="G329" s="6" t="s">
        <v>1595</v>
      </c>
      <c r="H329" s="6" t="s">
        <v>40</v>
      </c>
      <c r="I329" s="6" t="s">
        <v>369</v>
      </c>
      <c r="J329" s="6" t="s">
        <v>370</v>
      </c>
      <c r="K329" s="6" t="s">
        <v>40</v>
      </c>
      <c r="L329" s="7">
        <v>45536</v>
      </c>
      <c r="M329" s="6" t="s">
        <v>25</v>
      </c>
      <c r="N329" s="8" t="s">
        <v>1596</v>
      </c>
      <c r="O329" s="6">
        <f>HYPERLINK("https://docs.wto.org/imrd/directdoc.asp?DDFDocuments/t/G/SPS/NPER1056.DOCX", "https://docs.wto.org/imrd/directdoc.asp?DDFDocuments/t/G/SPS/NPER1056.DOCX")</f>
      </c>
      <c r="P329" s="6">
        <f>HYPERLINK("https://docs.wto.org/imrd/directdoc.asp?DDFDocuments/u/G/SPS/NPER1056.DOCX", "https://docs.wto.org/imrd/directdoc.asp?DDFDocuments/u/G/SPS/NPER1056.DOCX")</f>
      </c>
      <c r="Q329" s="6">
        <f>HYPERLINK("https://docs.wto.org/imrd/directdoc.asp?DDFDocuments/v/G/SPS/NPER1056.DOCX", "https://docs.wto.org/imrd/directdoc.asp?DDFDocuments/v/G/SPS/NPER1056.DOCX")</f>
      </c>
    </row>
    <row r="330">
      <c r="A330" s="6" t="s">
        <v>343</v>
      </c>
      <c r="B330" s="7">
        <v>45527</v>
      </c>
      <c r="C330" s="6">
        <f>HYPERLINK("https://eping.wto.org/en/Search?viewData= G/TBT/N/ARE/623, G/TBT/N/BHR/708, G/TBT/N/KWT/687, G/TBT/N/OMN/532, G/TBT/N/QAT/683, G/TBT/N/SAU/1351, G/TBT/N/YEM/289"," G/TBT/N/ARE/623, G/TBT/N/BHR/708, G/TBT/N/KWT/687, G/TBT/N/OMN/532, G/TBT/N/QAT/683, G/TBT/N/SAU/1351, G/TBT/N/YEM/289")</f>
      </c>
      <c r="D330" s="8" t="s">
        <v>1567</v>
      </c>
      <c r="E330" s="8" t="s">
        <v>1568</v>
      </c>
      <c r="F330" s="8" t="s">
        <v>29</v>
      </c>
      <c r="G330" s="6" t="s">
        <v>40</v>
      </c>
      <c r="H330" s="6" t="s">
        <v>31</v>
      </c>
      <c r="I330" s="6" t="s">
        <v>572</v>
      </c>
      <c r="J330" s="6" t="s">
        <v>24</v>
      </c>
      <c r="K330" s="6"/>
      <c r="L330" s="7">
        <v>45587</v>
      </c>
      <c r="M330" s="6" t="s">
        <v>25</v>
      </c>
      <c r="N330" s="8" t="s">
        <v>1569</v>
      </c>
      <c r="O330" s="6">
        <f>HYPERLINK("https://docs.wto.org/imrd/directdoc.asp?DDFDocuments/t/G/TBTN24/ARE623.DOCX", "https://docs.wto.org/imrd/directdoc.asp?DDFDocuments/t/G/TBTN24/ARE623.DOCX")</f>
      </c>
      <c r="P330" s="6">
        <f>HYPERLINK("https://docs.wto.org/imrd/directdoc.asp?DDFDocuments/u/G/TBTN24/ARE623.DOCX", "https://docs.wto.org/imrd/directdoc.asp?DDFDocuments/u/G/TBTN24/ARE623.DOCX")</f>
      </c>
      <c r="Q330" s="6">
        <f>HYPERLINK("https://docs.wto.org/imrd/directdoc.asp?DDFDocuments/v/G/TBTN24/ARE623.DOCX", "https://docs.wto.org/imrd/directdoc.asp?DDFDocuments/v/G/TBTN24/ARE623.DOCX")</f>
      </c>
    </row>
    <row r="331">
      <c r="A331" s="6" t="s">
        <v>160</v>
      </c>
      <c r="B331" s="7">
        <v>45527</v>
      </c>
      <c r="C331" s="6">
        <f>HYPERLINK("https://eping.wto.org/en/Search?viewData= G/SPS/N/USA/3472"," G/SPS/N/USA/3472")</f>
      </c>
      <c r="D331" s="8" t="s">
        <v>1597</v>
      </c>
      <c r="E331" s="8" t="s">
        <v>1598</v>
      </c>
      <c r="F331" s="8" t="s">
        <v>1599</v>
      </c>
      <c r="G331" s="6" t="s">
        <v>40</v>
      </c>
      <c r="H331" s="6" t="s">
        <v>40</v>
      </c>
      <c r="I331" s="6" t="s">
        <v>38</v>
      </c>
      <c r="J331" s="6" t="s">
        <v>60</v>
      </c>
      <c r="K331" s="6"/>
      <c r="L331" s="7" t="s">
        <v>40</v>
      </c>
      <c r="M331" s="6" t="s">
        <v>25</v>
      </c>
      <c r="N331" s="8" t="s">
        <v>1600</v>
      </c>
      <c r="O331" s="6">
        <f>HYPERLINK("https://docs.wto.org/imrd/directdoc.asp?DDFDocuments/t/G/SPS/NUSA3472.DOCX", "https://docs.wto.org/imrd/directdoc.asp?DDFDocuments/t/G/SPS/NUSA3472.DOCX")</f>
      </c>
      <c r="P331" s="6">
        <f>HYPERLINK("https://docs.wto.org/imrd/directdoc.asp?DDFDocuments/u/G/SPS/NUSA3472.DOCX", "https://docs.wto.org/imrd/directdoc.asp?DDFDocuments/u/G/SPS/NUSA3472.DOCX")</f>
      </c>
      <c r="Q331" s="6">
        <f>HYPERLINK("https://docs.wto.org/imrd/directdoc.asp?DDFDocuments/v/G/SPS/NUSA3472.DOCX", "https://docs.wto.org/imrd/directdoc.asp?DDFDocuments/v/G/SPS/NUSA3472.DOCX")</f>
      </c>
    </row>
    <row r="332">
      <c r="A332" s="6" t="s">
        <v>307</v>
      </c>
      <c r="B332" s="7">
        <v>45527</v>
      </c>
      <c r="C332" s="6">
        <f>HYPERLINK("https://eping.wto.org/en/Search?viewData= G/TBT/N/CAN/719/Add.1"," G/TBT/N/CAN/719/Add.1")</f>
      </c>
      <c r="D332" s="8" t="s">
        <v>1601</v>
      </c>
      <c r="E332" s="8" t="s">
        <v>1602</v>
      </c>
      <c r="F332" s="8" t="s">
        <v>1603</v>
      </c>
      <c r="G332" s="6" t="s">
        <v>40</v>
      </c>
      <c r="H332" s="6" t="s">
        <v>1604</v>
      </c>
      <c r="I332" s="6" t="s">
        <v>142</v>
      </c>
      <c r="J332" s="6" t="s">
        <v>40</v>
      </c>
      <c r="K332" s="6"/>
      <c r="L332" s="7" t="s">
        <v>40</v>
      </c>
      <c r="M332" s="6" t="s">
        <v>76</v>
      </c>
      <c r="N332" s="6"/>
      <c r="O332" s="6">
        <f>HYPERLINK("https://docs.wto.org/imrd/directdoc.asp?DDFDocuments/t/G/TBTN24/CAN719A1.DOCX", "https://docs.wto.org/imrd/directdoc.asp?DDFDocuments/t/G/TBTN24/CAN719A1.DOCX")</f>
      </c>
      <c r="P332" s="6">
        <f>HYPERLINK("https://docs.wto.org/imrd/directdoc.asp?DDFDocuments/u/G/TBTN24/CAN719A1.DOCX", "https://docs.wto.org/imrd/directdoc.asp?DDFDocuments/u/G/TBTN24/CAN719A1.DOCX")</f>
      </c>
      <c r="Q332" s="6">
        <f>HYPERLINK("https://docs.wto.org/imrd/directdoc.asp?DDFDocuments/v/G/TBTN24/CAN719A1.DOCX", "https://docs.wto.org/imrd/directdoc.asp?DDFDocuments/v/G/TBTN24/CAN719A1.DOCX")</f>
      </c>
    </row>
    <row r="333">
      <c r="A333" s="6" t="s">
        <v>1605</v>
      </c>
      <c r="B333" s="7">
        <v>45527</v>
      </c>
      <c r="C333" s="6">
        <f>HYPERLINK("https://eping.wto.org/en/Search?viewData= G/TBT/N/NIC/179"," G/TBT/N/NIC/179")</f>
      </c>
      <c r="D333" s="8" t="s">
        <v>1606</v>
      </c>
      <c r="E333" s="8" t="s">
        <v>1607</v>
      </c>
      <c r="F333" s="8" t="s">
        <v>1608</v>
      </c>
      <c r="G333" s="6" t="s">
        <v>1609</v>
      </c>
      <c r="H333" s="6" t="s">
        <v>177</v>
      </c>
      <c r="I333" s="6" t="s">
        <v>337</v>
      </c>
      <c r="J333" s="6" t="s">
        <v>178</v>
      </c>
      <c r="K333" s="6"/>
      <c r="L333" s="7">
        <v>45560</v>
      </c>
      <c r="M333" s="6" t="s">
        <v>25</v>
      </c>
      <c r="N333" s="8" t="s">
        <v>1610</v>
      </c>
      <c r="O333" s="6">
        <f>HYPERLINK("https://docs.wto.org/imrd/directdoc.asp?DDFDocuments/t/G/TBTN24/NIC179.DOCX", "https://docs.wto.org/imrd/directdoc.asp?DDFDocuments/t/G/TBTN24/NIC179.DOCX")</f>
      </c>
      <c r="P333" s="6">
        <f>HYPERLINK("https://docs.wto.org/imrd/directdoc.asp?DDFDocuments/u/G/TBTN24/NIC179.DOCX", "https://docs.wto.org/imrd/directdoc.asp?DDFDocuments/u/G/TBTN24/NIC179.DOCX")</f>
      </c>
      <c r="Q333" s="6">
        <f>HYPERLINK("https://docs.wto.org/imrd/directdoc.asp?DDFDocuments/v/G/TBTN24/NIC179.DOCX", "https://docs.wto.org/imrd/directdoc.asp?DDFDocuments/v/G/TBTN24/NIC179.DOCX")</f>
      </c>
    </row>
    <row r="334">
      <c r="A334" s="6" t="s">
        <v>160</v>
      </c>
      <c r="B334" s="7">
        <v>45527</v>
      </c>
      <c r="C334" s="6">
        <f>HYPERLINK("https://eping.wto.org/en/Search?viewData= G/SPS/N/USA/1865/Add.1"," G/SPS/N/USA/1865/Add.1")</f>
      </c>
      <c r="D334" s="8" t="s">
        <v>1611</v>
      </c>
      <c r="E334" s="8" t="s">
        <v>1612</v>
      </c>
      <c r="F334" s="8" t="s">
        <v>1613</v>
      </c>
      <c r="G334" s="6" t="s">
        <v>1614</v>
      </c>
      <c r="H334" s="6" t="s">
        <v>40</v>
      </c>
      <c r="I334" s="6" t="s">
        <v>369</v>
      </c>
      <c r="J334" s="6" t="s">
        <v>1615</v>
      </c>
      <c r="K334" s="6"/>
      <c r="L334" s="7" t="s">
        <v>40</v>
      </c>
      <c r="M334" s="6" t="s">
        <v>76</v>
      </c>
      <c r="N334" s="8" t="s">
        <v>1616</v>
      </c>
      <c r="O334" s="6">
        <f>HYPERLINK("https://docs.wto.org/imrd/directdoc.asp?DDFDocuments/t/G/SPS/NUSA1865A1.DOCX", "https://docs.wto.org/imrd/directdoc.asp?DDFDocuments/t/G/SPS/NUSA1865A1.DOCX")</f>
      </c>
      <c r="P334" s="6">
        <f>HYPERLINK("https://docs.wto.org/imrd/directdoc.asp?DDFDocuments/u/G/SPS/NUSA1865A1.DOCX", "https://docs.wto.org/imrd/directdoc.asp?DDFDocuments/u/G/SPS/NUSA1865A1.DOCX")</f>
      </c>
      <c r="Q334" s="6">
        <f>HYPERLINK("https://docs.wto.org/imrd/directdoc.asp?DDFDocuments/v/G/SPS/NUSA1865A1.DOCX", "https://docs.wto.org/imrd/directdoc.asp?DDFDocuments/v/G/SPS/NUSA1865A1.DOCX")</f>
      </c>
    </row>
    <row r="335">
      <c r="A335" s="6" t="s">
        <v>160</v>
      </c>
      <c r="B335" s="7">
        <v>45527</v>
      </c>
      <c r="C335" s="6">
        <f>HYPERLINK("https://eping.wto.org/en/Search?viewData= G/SPS/N/USA/3470"," G/SPS/N/USA/3470")</f>
      </c>
      <c r="D335" s="8" t="s">
        <v>1617</v>
      </c>
      <c r="E335" s="8" t="s">
        <v>1618</v>
      </c>
      <c r="F335" s="8" t="s">
        <v>1619</v>
      </c>
      <c r="G335" s="6" t="s">
        <v>40</v>
      </c>
      <c r="H335" s="6" t="s">
        <v>40</v>
      </c>
      <c r="I335" s="6" t="s">
        <v>369</v>
      </c>
      <c r="J335" s="6" t="s">
        <v>370</v>
      </c>
      <c r="K335" s="6" t="s">
        <v>136</v>
      </c>
      <c r="L335" s="7">
        <v>45572</v>
      </c>
      <c r="M335" s="6" t="s">
        <v>25</v>
      </c>
      <c r="N335" s="8" t="s">
        <v>1620</v>
      </c>
      <c r="O335" s="6">
        <f>HYPERLINK("https://docs.wto.org/imrd/directdoc.asp?DDFDocuments/t/G/SPS/NUSA3470.DOCX", "https://docs.wto.org/imrd/directdoc.asp?DDFDocuments/t/G/SPS/NUSA3470.DOCX")</f>
      </c>
      <c r="P335" s="6">
        <f>HYPERLINK("https://docs.wto.org/imrd/directdoc.asp?DDFDocuments/u/G/SPS/NUSA3470.DOCX", "https://docs.wto.org/imrd/directdoc.asp?DDFDocuments/u/G/SPS/NUSA3470.DOCX")</f>
      </c>
      <c r="Q335" s="6">
        <f>HYPERLINK("https://docs.wto.org/imrd/directdoc.asp?DDFDocuments/v/G/SPS/NUSA3470.DOCX", "https://docs.wto.org/imrd/directdoc.asp?DDFDocuments/v/G/SPS/NUSA3470.DOCX")</f>
      </c>
    </row>
    <row r="336">
      <c r="A336" s="6" t="s">
        <v>115</v>
      </c>
      <c r="B336" s="7">
        <v>45527</v>
      </c>
      <c r="C336" s="6">
        <f>HYPERLINK("https://eping.wto.org/en/Search?viewData= G/SPS/N/BRA/2239/Rev.1"," G/SPS/N/BRA/2239/Rev.1")</f>
      </c>
      <c r="D336" s="8" t="s">
        <v>1621</v>
      </c>
      <c r="E336" s="8" t="s">
        <v>1622</v>
      </c>
      <c r="F336" s="8" t="s">
        <v>1623</v>
      </c>
      <c r="G336" s="6" t="s">
        <v>409</v>
      </c>
      <c r="H336" s="6" t="s">
        <v>40</v>
      </c>
      <c r="I336" s="6" t="s">
        <v>184</v>
      </c>
      <c r="J336" s="6" t="s">
        <v>1624</v>
      </c>
      <c r="K336" s="6" t="s">
        <v>40</v>
      </c>
      <c r="L336" s="7" t="s">
        <v>40</v>
      </c>
      <c r="M336" s="6" t="s">
        <v>214</v>
      </c>
      <c r="N336" s="8" t="s">
        <v>1625</v>
      </c>
      <c r="O336" s="6">
        <f>HYPERLINK("https://docs.wto.org/imrd/directdoc.asp?DDFDocuments/t/G/SPS/NBRA2239R1.DOCX", "https://docs.wto.org/imrd/directdoc.asp?DDFDocuments/t/G/SPS/NBRA2239R1.DOCX")</f>
      </c>
      <c r="P336" s="6">
        <f>HYPERLINK("https://docs.wto.org/imrd/directdoc.asp?DDFDocuments/u/G/SPS/NBRA2239R1.DOCX", "https://docs.wto.org/imrd/directdoc.asp?DDFDocuments/u/G/SPS/NBRA2239R1.DOCX")</f>
      </c>
      <c r="Q336" s="6">
        <f>HYPERLINK("https://docs.wto.org/imrd/directdoc.asp?DDFDocuments/v/G/SPS/NBRA2239R1.DOCX", "https://docs.wto.org/imrd/directdoc.asp?DDFDocuments/v/G/SPS/NBRA2239R1.DOCX")</f>
      </c>
    </row>
    <row r="337">
      <c r="A337" s="6" t="s">
        <v>1605</v>
      </c>
      <c r="B337" s="7">
        <v>45527</v>
      </c>
      <c r="C337" s="6">
        <f>HYPERLINK("https://eping.wto.org/en/Search?viewData= G/TBT/N/NIC/180"," G/TBT/N/NIC/180")</f>
      </c>
      <c r="D337" s="8" t="s">
        <v>1626</v>
      </c>
      <c r="E337" s="8" t="s">
        <v>1627</v>
      </c>
      <c r="F337" s="8" t="s">
        <v>1628</v>
      </c>
      <c r="G337" s="6" t="s">
        <v>1629</v>
      </c>
      <c r="H337" s="6" t="s">
        <v>1630</v>
      </c>
      <c r="I337" s="6" t="s">
        <v>337</v>
      </c>
      <c r="J337" s="6" t="s">
        <v>40</v>
      </c>
      <c r="K337" s="6"/>
      <c r="L337" s="7">
        <v>45560</v>
      </c>
      <c r="M337" s="6" t="s">
        <v>25</v>
      </c>
      <c r="N337" s="8" t="s">
        <v>1631</v>
      </c>
      <c r="O337" s="6">
        <f>HYPERLINK("https://docs.wto.org/imrd/directdoc.asp?DDFDocuments/t/G/TBTN24/NIC180.DOCX", "https://docs.wto.org/imrd/directdoc.asp?DDFDocuments/t/G/TBTN24/NIC180.DOCX")</f>
      </c>
      <c r="P337" s="6">
        <f>HYPERLINK("https://docs.wto.org/imrd/directdoc.asp?DDFDocuments/u/G/TBTN24/NIC180.DOCX", "https://docs.wto.org/imrd/directdoc.asp?DDFDocuments/u/G/TBTN24/NIC180.DOCX")</f>
      </c>
      <c r="Q337" s="6">
        <f>HYPERLINK("https://docs.wto.org/imrd/directdoc.asp?DDFDocuments/v/G/TBTN24/NIC180.DOCX", "https://docs.wto.org/imrd/directdoc.asp?DDFDocuments/v/G/TBTN24/NIC180.DOCX")</f>
      </c>
    </row>
    <row r="338">
      <c r="A338" s="6" t="s">
        <v>372</v>
      </c>
      <c r="B338" s="7">
        <v>45527</v>
      </c>
      <c r="C338" s="6">
        <f>HYPERLINK("https://eping.wto.org/en/Search?viewData= G/TBT/N/ARE/623, G/TBT/N/BHR/708, G/TBT/N/KWT/687, G/TBT/N/OMN/532, G/TBT/N/QAT/683, G/TBT/N/SAU/1351, G/TBT/N/YEM/289"," G/TBT/N/ARE/623, G/TBT/N/BHR/708, G/TBT/N/KWT/687, G/TBT/N/OMN/532, G/TBT/N/QAT/683, G/TBT/N/SAU/1351, G/TBT/N/YEM/289")</f>
      </c>
      <c r="D338" s="8" t="s">
        <v>1567</v>
      </c>
      <c r="E338" s="8" t="s">
        <v>1568</v>
      </c>
      <c r="F338" s="8" t="s">
        <v>29</v>
      </c>
      <c r="G338" s="6" t="s">
        <v>40</v>
      </c>
      <c r="H338" s="6" t="s">
        <v>31</v>
      </c>
      <c r="I338" s="6" t="s">
        <v>572</v>
      </c>
      <c r="J338" s="6" t="s">
        <v>24</v>
      </c>
      <c r="K338" s="6"/>
      <c r="L338" s="7">
        <v>45587</v>
      </c>
      <c r="M338" s="6" t="s">
        <v>25</v>
      </c>
      <c r="N338" s="8" t="s">
        <v>1569</v>
      </c>
      <c r="O338" s="6">
        <f>HYPERLINK("https://docs.wto.org/imrd/directdoc.asp?DDFDocuments/t/G/TBTN24/ARE623.DOCX", "https://docs.wto.org/imrd/directdoc.asp?DDFDocuments/t/G/TBTN24/ARE623.DOCX")</f>
      </c>
      <c r="P338" s="6">
        <f>HYPERLINK("https://docs.wto.org/imrd/directdoc.asp?DDFDocuments/u/G/TBTN24/ARE623.DOCX", "https://docs.wto.org/imrd/directdoc.asp?DDFDocuments/u/G/TBTN24/ARE623.DOCX")</f>
      </c>
      <c r="Q338" s="6">
        <f>HYPERLINK("https://docs.wto.org/imrd/directdoc.asp?DDFDocuments/v/G/TBTN24/ARE623.DOCX", "https://docs.wto.org/imrd/directdoc.asp?DDFDocuments/v/G/TBTN24/ARE623.DOCX")</f>
      </c>
    </row>
    <row r="339">
      <c r="A339" s="6" t="s">
        <v>115</v>
      </c>
      <c r="B339" s="7">
        <v>45527</v>
      </c>
      <c r="C339" s="6">
        <f>HYPERLINK("https://eping.wto.org/en/Search?viewData= G/SPS/N/BRA/2324"," G/SPS/N/BRA/2324")</f>
      </c>
      <c r="D339" s="8" t="s">
        <v>1632</v>
      </c>
      <c r="E339" s="8" t="s">
        <v>1633</v>
      </c>
      <c r="F339" s="8" t="s">
        <v>1634</v>
      </c>
      <c r="G339" s="6" t="s">
        <v>40</v>
      </c>
      <c r="H339" s="6" t="s">
        <v>40</v>
      </c>
      <c r="I339" s="6" t="s">
        <v>184</v>
      </c>
      <c r="J339" s="6" t="s">
        <v>410</v>
      </c>
      <c r="K339" s="6" t="s">
        <v>412</v>
      </c>
      <c r="L339" s="7">
        <v>45587</v>
      </c>
      <c r="M339" s="6" t="s">
        <v>25</v>
      </c>
      <c r="N339" s="8" t="s">
        <v>1635</v>
      </c>
      <c r="O339" s="6">
        <f>HYPERLINK("https://docs.wto.org/imrd/directdoc.asp?DDFDocuments/t/G/SPS/NBRA2324.DOCX", "https://docs.wto.org/imrd/directdoc.asp?DDFDocuments/t/G/SPS/NBRA2324.DOCX")</f>
      </c>
      <c r="P339" s="6">
        <f>HYPERLINK("https://docs.wto.org/imrd/directdoc.asp?DDFDocuments/u/G/SPS/NBRA2324.DOCX", "https://docs.wto.org/imrd/directdoc.asp?DDFDocuments/u/G/SPS/NBRA2324.DOCX")</f>
      </c>
      <c r="Q339" s="6">
        <f>HYPERLINK("https://docs.wto.org/imrd/directdoc.asp?DDFDocuments/v/G/SPS/NBRA2324.DOCX", "https://docs.wto.org/imrd/directdoc.asp?DDFDocuments/v/G/SPS/NBRA2324.DOCX")</f>
      </c>
    </row>
    <row r="340">
      <c r="A340" s="6" t="s">
        <v>1636</v>
      </c>
      <c r="B340" s="7">
        <v>45526</v>
      </c>
      <c r="C340" s="6">
        <f>HYPERLINK("https://eping.wto.org/en/Search?viewData= G/SPS/N/ARM/58"," G/SPS/N/ARM/58")</f>
      </c>
      <c r="D340" s="8" t="s">
        <v>1637</v>
      </c>
      <c r="E340" s="8" t="s">
        <v>1638</v>
      </c>
      <c r="F340" s="8" t="s">
        <v>1639</v>
      </c>
      <c r="G340" s="6" t="s">
        <v>40</v>
      </c>
      <c r="H340" s="6" t="s">
        <v>40</v>
      </c>
      <c r="I340" s="6" t="s">
        <v>353</v>
      </c>
      <c r="J340" s="6" t="s">
        <v>915</v>
      </c>
      <c r="K340" s="6" t="s">
        <v>40</v>
      </c>
      <c r="L340" s="7">
        <v>45537</v>
      </c>
      <c r="M340" s="6" t="s">
        <v>25</v>
      </c>
      <c r="N340" s="8" t="s">
        <v>1640</v>
      </c>
      <c r="O340" s="6">
        <f>HYPERLINK("https://docs.wto.org/imrd/directdoc.asp?DDFDocuments/t/G/SPS/NARM58.DOCX", "https://docs.wto.org/imrd/directdoc.asp?DDFDocuments/t/G/SPS/NARM58.DOCX")</f>
      </c>
      <c r="P340" s="6">
        <f>HYPERLINK("https://docs.wto.org/imrd/directdoc.asp?DDFDocuments/u/G/SPS/NARM58.DOCX", "https://docs.wto.org/imrd/directdoc.asp?DDFDocuments/u/G/SPS/NARM58.DOCX")</f>
      </c>
      <c r="Q340" s="6">
        <f>HYPERLINK("https://docs.wto.org/imrd/directdoc.asp?DDFDocuments/v/G/SPS/NARM58.DOCX", "https://docs.wto.org/imrd/directdoc.asp?DDFDocuments/v/G/SPS/NARM58.DOCX")</f>
      </c>
    </row>
    <row r="341">
      <c r="A341" s="6" t="s">
        <v>1636</v>
      </c>
      <c r="B341" s="7">
        <v>45526</v>
      </c>
      <c r="C341" s="6">
        <f>HYPERLINK("https://eping.wto.org/en/Search?viewData= G/TBT/N/ARM/101"," G/TBT/N/ARM/101")</f>
      </c>
      <c r="D341" s="8" t="s">
        <v>1641</v>
      </c>
      <c r="E341" s="8" t="s">
        <v>1642</v>
      </c>
      <c r="F341" s="8" t="s">
        <v>1643</v>
      </c>
      <c r="G341" s="6" t="s">
        <v>1644</v>
      </c>
      <c r="H341" s="6" t="s">
        <v>1645</v>
      </c>
      <c r="I341" s="6" t="s">
        <v>147</v>
      </c>
      <c r="J341" s="6" t="s">
        <v>40</v>
      </c>
      <c r="K341" s="6"/>
      <c r="L341" s="7">
        <v>45555</v>
      </c>
      <c r="M341" s="6" t="s">
        <v>25</v>
      </c>
      <c r="N341" s="6"/>
      <c r="O341" s="6">
        <f>HYPERLINK("https://docs.wto.org/imrd/directdoc.asp?DDFDocuments/t/G/TBTN24/ARM101.DOCX", "https://docs.wto.org/imrd/directdoc.asp?DDFDocuments/t/G/TBTN24/ARM101.DOCX")</f>
      </c>
      <c r="P341" s="6">
        <f>HYPERLINK("https://docs.wto.org/imrd/directdoc.asp?DDFDocuments/u/G/TBTN24/ARM101.DOCX", "https://docs.wto.org/imrd/directdoc.asp?DDFDocuments/u/G/TBTN24/ARM101.DOCX")</f>
      </c>
      <c r="Q341" s="6">
        <f>HYPERLINK("https://docs.wto.org/imrd/directdoc.asp?DDFDocuments/v/G/TBTN24/ARM101.DOCX", "https://docs.wto.org/imrd/directdoc.asp?DDFDocuments/v/G/TBTN24/ARM101.DOCX")</f>
      </c>
    </row>
    <row r="342">
      <c r="A342" s="6" t="s">
        <v>115</v>
      </c>
      <c r="B342" s="7">
        <v>45526</v>
      </c>
      <c r="C342" s="6">
        <f>HYPERLINK("https://eping.wto.org/en/Search?viewData= G/SPS/N/BRA/2323"," G/SPS/N/BRA/2323")</f>
      </c>
      <c r="D342" s="8" t="s">
        <v>1646</v>
      </c>
      <c r="E342" s="8" t="s">
        <v>1647</v>
      </c>
      <c r="F342" s="8" t="s">
        <v>1648</v>
      </c>
      <c r="G342" s="6" t="s">
        <v>1649</v>
      </c>
      <c r="H342" s="6" t="s">
        <v>40</v>
      </c>
      <c r="I342" s="6" t="s">
        <v>184</v>
      </c>
      <c r="J342" s="6" t="s">
        <v>1075</v>
      </c>
      <c r="K342" s="6" t="s">
        <v>1650</v>
      </c>
      <c r="L342" s="7">
        <v>45586</v>
      </c>
      <c r="M342" s="6" t="s">
        <v>25</v>
      </c>
      <c r="N342" s="8" t="s">
        <v>1651</v>
      </c>
      <c r="O342" s="6">
        <f>HYPERLINK("https://docs.wto.org/imrd/directdoc.asp?DDFDocuments/t/G/SPS/NBRA2323.DOCX", "https://docs.wto.org/imrd/directdoc.asp?DDFDocuments/t/G/SPS/NBRA2323.DOCX")</f>
      </c>
      <c r="P342" s="6">
        <f>HYPERLINK("https://docs.wto.org/imrd/directdoc.asp?DDFDocuments/u/G/SPS/NBRA2323.DOCX", "https://docs.wto.org/imrd/directdoc.asp?DDFDocuments/u/G/SPS/NBRA2323.DOCX")</f>
      </c>
      <c r="Q342" s="6">
        <f>HYPERLINK("https://docs.wto.org/imrd/directdoc.asp?DDFDocuments/v/G/SPS/NBRA2323.DOCX", "https://docs.wto.org/imrd/directdoc.asp?DDFDocuments/v/G/SPS/NBRA2323.DOCX")</f>
      </c>
    </row>
    <row r="343">
      <c r="A343" s="6" t="s">
        <v>515</v>
      </c>
      <c r="B343" s="7">
        <v>45526</v>
      </c>
      <c r="C343" s="6">
        <f>HYPERLINK("https://eping.wto.org/en/Search?viewData= G/SPS/N/EU/734/Add.1"," G/SPS/N/EU/734/Add.1")</f>
      </c>
      <c r="D343" s="8" t="s">
        <v>1652</v>
      </c>
      <c r="E343" s="8" t="s">
        <v>1653</v>
      </c>
      <c r="F343" s="8" t="s">
        <v>1654</v>
      </c>
      <c r="G343" s="6" t="s">
        <v>40</v>
      </c>
      <c r="H343" s="6" t="s">
        <v>40</v>
      </c>
      <c r="I343" s="6" t="s">
        <v>38</v>
      </c>
      <c r="J343" s="6" t="s">
        <v>1655</v>
      </c>
      <c r="K343" s="6"/>
      <c r="L343" s="7" t="s">
        <v>40</v>
      </c>
      <c r="M343" s="6" t="s">
        <v>76</v>
      </c>
      <c r="N343" s="8" t="s">
        <v>1656</v>
      </c>
      <c r="O343" s="6">
        <f>HYPERLINK("https://docs.wto.org/imrd/directdoc.asp?DDFDocuments/t/G/SPS/NEU734A1.DOCX", "https://docs.wto.org/imrd/directdoc.asp?DDFDocuments/t/G/SPS/NEU734A1.DOCX")</f>
      </c>
      <c r="P343" s="6">
        <f>HYPERLINK("https://docs.wto.org/imrd/directdoc.asp?DDFDocuments/u/G/SPS/NEU734A1.DOCX", "https://docs.wto.org/imrd/directdoc.asp?DDFDocuments/u/G/SPS/NEU734A1.DOCX")</f>
      </c>
      <c r="Q343" s="6">
        <f>HYPERLINK("https://docs.wto.org/imrd/directdoc.asp?DDFDocuments/v/G/SPS/NEU734A1.DOCX", "https://docs.wto.org/imrd/directdoc.asp?DDFDocuments/v/G/SPS/NEU734A1.DOCX")</f>
      </c>
    </row>
    <row r="344">
      <c r="A344" s="6" t="s">
        <v>1636</v>
      </c>
      <c r="B344" s="7">
        <v>45526</v>
      </c>
      <c r="C344" s="6">
        <f>HYPERLINK("https://eping.wto.org/en/Search?viewData= G/TBT/N/ARM/100"," G/TBT/N/ARM/100")</f>
      </c>
      <c r="D344" s="8" t="s">
        <v>1657</v>
      </c>
      <c r="E344" s="8" t="s">
        <v>1658</v>
      </c>
      <c r="F344" s="8" t="s">
        <v>1659</v>
      </c>
      <c r="G344" s="6" t="s">
        <v>40</v>
      </c>
      <c r="H344" s="6" t="s">
        <v>1660</v>
      </c>
      <c r="I344" s="6" t="s">
        <v>147</v>
      </c>
      <c r="J344" s="6" t="s">
        <v>40</v>
      </c>
      <c r="K344" s="6"/>
      <c r="L344" s="7">
        <v>45554</v>
      </c>
      <c r="M344" s="6" t="s">
        <v>25</v>
      </c>
      <c r="N344" s="6"/>
      <c r="O344" s="6">
        <f>HYPERLINK("https://docs.wto.org/imrd/directdoc.asp?DDFDocuments/t/G/TBTN24/ARM100.DOCX", "https://docs.wto.org/imrd/directdoc.asp?DDFDocuments/t/G/TBTN24/ARM100.DOCX")</f>
      </c>
      <c r="P344" s="6">
        <f>HYPERLINK("https://docs.wto.org/imrd/directdoc.asp?DDFDocuments/u/G/TBTN24/ARM100.DOCX", "https://docs.wto.org/imrd/directdoc.asp?DDFDocuments/u/G/TBTN24/ARM100.DOCX")</f>
      </c>
      <c r="Q344" s="6">
        <f>HYPERLINK("https://docs.wto.org/imrd/directdoc.asp?DDFDocuments/v/G/TBTN24/ARM100.DOCX", "https://docs.wto.org/imrd/directdoc.asp?DDFDocuments/v/G/TBTN24/ARM100.DOCX")</f>
      </c>
    </row>
    <row r="345">
      <c r="A345" s="6" t="s">
        <v>515</v>
      </c>
      <c r="B345" s="7">
        <v>45526</v>
      </c>
      <c r="C345" s="6">
        <f>HYPERLINK("https://eping.wto.org/en/Search?viewData= G/SPS/N/EU/760/Add.1"," G/SPS/N/EU/760/Add.1")</f>
      </c>
      <c r="D345" s="8" t="s">
        <v>1661</v>
      </c>
      <c r="E345" s="8" t="s">
        <v>1662</v>
      </c>
      <c r="F345" s="8" t="s">
        <v>518</v>
      </c>
      <c r="G345" s="6" t="s">
        <v>40</v>
      </c>
      <c r="H345" s="6" t="s">
        <v>40</v>
      </c>
      <c r="I345" s="6" t="s">
        <v>38</v>
      </c>
      <c r="J345" s="6" t="s">
        <v>1663</v>
      </c>
      <c r="K345" s="6"/>
      <c r="L345" s="7" t="s">
        <v>40</v>
      </c>
      <c r="M345" s="6" t="s">
        <v>76</v>
      </c>
      <c r="N345" s="8" t="s">
        <v>1664</v>
      </c>
      <c r="O345" s="6">
        <f>HYPERLINK("https://docs.wto.org/imrd/directdoc.asp?DDFDocuments/t/G/SPS/NEU760A1.DOCX", "https://docs.wto.org/imrd/directdoc.asp?DDFDocuments/t/G/SPS/NEU760A1.DOCX")</f>
      </c>
      <c r="P345" s="6">
        <f>HYPERLINK("https://docs.wto.org/imrd/directdoc.asp?DDFDocuments/u/G/SPS/NEU760A1.DOCX", "https://docs.wto.org/imrd/directdoc.asp?DDFDocuments/u/G/SPS/NEU760A1.DOCX")</f>
      </c>
      <c r="Q345" s="6">
        <f>HYPERLINK("https://docs.wto.org/imrd/directdoc.asp?DDFDocuments/v/G/SPS/NEU760A1.DOCX", "https://docs.wto.org/imrd/directdoc.asp?DDFDocuments/v/G/SPS/NEU760A1.DOCX")</f>
      </c>
    </row>
    <row r="346">
      <c r="A346" s="6" t="s">
        <v>515</v>
      </c>
      <c r="B346" s="7">
        <v>45526</v>
      </c>
      <c r="C346" s="6">
        <f>HYPERLINK("https://eping.wto.org/en/Search?viewData= G/SPS/N/EU/792"," G/SPS/N/EU/792")</f>
      </c>
      <c r="D346" s="8" t="s">
        <v>1665</v>
      </c>
      <c r="E346" s="8" t="s">
        <v>1666</v>
      </c>
      <c r="F346" s="8" t="s">
        <v>1667</v>
      </c>
      <c r="G346" s="6" t="s">
        <v>1033</v>
      </c>
      <c r="H346" s="6" t="s">
        <v>40</v>
      </c>
      <c r="I346" s="6" t="s">
        <v>791</v>
      </c>
      <c r="J346" s="6" t="s">
        <v>792</v>
      </c>
      <c r="K346" s="6"/>
      <c r="L346" s="7" t="s">
        <v>40</v>
      </c>
      <c r="M346" s="6" t="s">
        <v>25</v>
      </c>
      <c r="N346" s="8" t="s">
        <v>1668</v>
      </c>
      <c r="O346" s="6">
        <f>HYPERLINK("https://docs.wto.org/imrd/directdoc.asp?DDFDocuments/t/G/SPS/NEU792.DOCX", "https://docs.wto.org/imrd/directdoc.asp?DDFDocuments/t/G/SPS/NEU792.DOCX")</f>
      </c>
      <c r="P346" s="6">
        <f>HYPERLINK("https://docs.wto.org/imrd/directdoc.asp?DDFDocuments/u/G/SPS/NEU792.DOCX", "https://docs.wto.org/imrd/directdoc.asp?DDFDocuments/u/G/SPS/NEU792.DOCX")</f>
      </c>
      <c r="Q346" s="6">
        <f>HYPERLINK("https://docs.wto.org/imrd/directdoc.asp?DDFDocuments/v/G/SPS/NEU792.DOCX", "https://docs.wto.org/imrd/directdoc.asp?DDFDocuments/v/G/SPS/NEU792.DOCX")</f>
      </c>
    </row>
    <row r="347">
      <c r="A347" s="6" t="s">
        <v>160</v>
      </c>
      <c r="B347" s="7">
        <v>45526</v>
      </c>
      <c r="C347" s="6">
        <f>HYPERLINK("https://eping.wto.org/en/Search?viewData= G/TBT/N/USA/2046/Rev.1/Add.3"," G/TBT/N/USA/2046/Rev.1/Add.3")</f>
      </c>
      <c r="D347" s="8" t="s">
        <v>1669</v>
      </c>
      <c r="E347" s="8" t="s">
        <v>1670</v>
      </c>
      <c r="F347" s="8" t="s">
        <v>1671</v>
      </c>
      <c r="G347" s="6" t="s">
        <v>40</v>
      </c>
      <c r="H347" s="6" t="s">
        <v>1672</v>
      </c>
      <c r="I347" s="6" t="s">
        <v>165</v>
      </c>
      <c r="J347" s="6" t="s">
        <v>40</v>
      </c>
      <c r="K347" s="6"/>
      <c r="L347" s="7">
        <v>45562</v>
      </c>
      <c r="M347" s="6" t="s">
        <v>76</v>
      </c>
      <c r="N347" s="8" t="s">
        <v>1673</v>
      </c>
      <c r="O347" s="6">
        <f>HYPERLINK("https://docs.wto.org/imrd/directdoc.asp?DDFDocuments/t/G/TBTN23/USA2046R1A3.DOCX", "https://docs.wto.org/imrd/directdoc.asp?DDFDocuments/t/G/TBTN23/USA2046R1A3.DOCX")</f>
      </c>
      <c r="P347" s="6">
        <f>HYPERLINK("https://docs.wto.org/imrd/directdoc.asp?DDFDocuments/u/G/TBTN23/USA2046R1A3.DOCX", "https://docs.wto.org/imrd/directdoc.asp?DDFDocuments/u/G/TBTN23/USA2046R1A3.DOCX")</f>
      </c>
      <c r="Q347" s="6">
        <f>HYPERLINK("https://docs.wto.org/imrd/directdoc.asp?DDFDocuments/v/G/TBTN23/USA2046R1A3.DOCX", "https://docs.wto.org/imrd/directdoc.asp?DDFDocuments/v/G/TBTN23/USA2046R1A3.DOCX")</f>
      </c>
    </row>
    <row r="348">
      <c r="A348" s="6" t="s">
        <v>160</v>
      </c>
      <c r="B348" s="7">
        <v>45526</v>
      </c>
      <c r="C348" s="6">
        <f>HYPERLINK("https://eping.wto.org/en/Search?viewData= G/TBT/N/USA/2139"," G/TBT/N/USA/2139")</f>
      </c>
      <c r="D348" s="8" t="s">
        <v>1674</v>
      </c>
      <c r="E348" s="8" t="s">
        <v>1675</v>
      </c>
      <c r="F348" s="8" t="s">
        <v>1676</v>
      </c>
      <c r="G348" s="6" t="s">
        <v>40</v>
      </c>
      <c r="H348" s="6" t="s">
        <v>1677</v>
      </c>
      <c r="I348" s="6" t="s">
        <v>1678</v>
      </c>
      <c r="J348" s="6" t="s">
        <v>40</v>
      </c>
      <c r="K348" s="6"/>
      <c r="L348" s="7">
        <v>45586</v>
      </c>
      <c r="M348" s="6" t="s">
        <v>25</v>
      </c>
      <c r="N348" s="8" t="s">
        <v>1679</v>
      </c>
      <c r="O348" s="6">
        <f>HYPERLINK("https://docs.wto.org/imrd/directdoc.asp?DDFDocuments/t/G/TBTN24/USA2139.DOCX", "https://docs.wto.org/imrd/directdoc.asp?DDFDocuments/t/G/TBTN24/USA2139.DOCX")</f>
      </c>
      <c r="P348" s="6">
        <f>HYPERLINK("https://docs.wto.org/imrd/directdoc.asp?DDFDocuments/u/G/TBTN24/USA2139.DOCX", "https://docs.wto.org/imrd/directdoc.asp?DDFDocuments/u/G/TBTN24/USA2139.DOCX")</f>
      </c>
      <c r="Q348" s="6">
        <f>HYPERLINK("https://docs.wto.org/imrd/directdoc.asp?DDFDocuments/v/G/TBTN24/USA2139.DOCX", "https://docs.wto.org/imrd/directdoc.asp?DDFDocuments/v/G/TBTN24/USA2139.DOCX")</f>
      </c>
    </row>
    <row r="349">
      <c r="A349" s="6" t="s">
        <v>331</v>
      </c>
      <c r="B349" s="7">
        <v>45526</v>
      </c>
      <c r="C349" s="6">
        <f>HYPERLINK("https://eping.wto.org/en/Search?viewData= G/TBT/N/ARE/621"," G/TBT/N/ARE/621")</f>
      </c>
      <c r="D349" s="8" t="s">
        <v>1680</v>
      </c>
      <c r="E349" s="8" t="s">
        <v>1681</v>
      </c>
      <c r="F349" s="8" t="s">
        <v>1682</v>
      </c>
      <c r="G349" s="6" t="s">
        <v>40</v>
      </c>
      <c r="H349" s="6" t="s">
        <v>1683</v>
      </c>
      <c r="I349" s="6" t="s">
        <v>578</v>
      </c>
      <c r="J349" s="6" t="s">
        <v>40</v>
      </c>
      <c r="K349" s="6"/>
      <c r="L349" s="7">
        <v>45586</v>
      </c>
      <c r="M349" s="6" t="s">
        <v>25</v>
      </c>
      <c r="N349" s="8" t="s">
        <v>1684</v>
      </c>
      <c r="O349" s="6">
        <f>HYPERLINK("https://docs.wto.org/imrd/directdoc.asp?DDFDocuments/t/G/TBTN24/ARE621.DOCX", "https://docs.wto.org/imrd/directdoc.asp?DDFDocuments/t/G/TBTN24/ARE621.DOCX")</f>
      </c>
      <c r="P349" s="6">
        <f>HYPERLINK("https://docs.wto.org/imrd/directdoc.asp?DDFDocuments/u/G/TBTN24/ARE621.DOCX", "https://docs.wto.org/imrd/directdoc.asp?DDFDocuments/u/G/TBTN24/ARE621.DOCX")</f>
      </c>
      <c r="Q349" s="6">
        <f>HYPERLINK("https://docs.wto.org/imrd/directdoc.asp?DDFDocuments/v/G/TBTN24/ARE621.DOCX", "https://docs.wto.org/imrd/directdoc.asp?DDFDocuments/v/G/TBTN24/ARE621.DOCX")</f>
      </c>
    </row>
    <row r="350">
      <c r="A350" s="6" t="s">
        <v>331</v>
      </c>
      <c r="B350" s="7">
        <v>45526</v>
      </c>
      <c r="C350" s="6">
        <f>HYPERLINK("https://eping.wto.org/en/Search?viewData= G/TBT/N/ARE/622"," G/TBT/N/ARE/622")</f>
      </c>
      <c r="D350" s="8" t="s">
        <v>1685</v>
      </c>
      <c r="E350" s="8" t="s">
        <v>1686</v>
      </c>
      <c r="F350" s="8" t="s">
        <v>1682</v>
      </c>
      <c r="G350" s="6" t="s">
        <v>40</v>
      </c>
      <c r="H350" s="6" t="s">
        <v>1683</v>
      </c>
      <c r="I350" s="6" t="s">
        <v>578</v>
      </c>
      <c r="J350" s="6" t="s">
        <v>40</v>
      </c>
      <c r="K350" s="6"/>
      <c r="L350" s="7">
        <v>45586</v>
      </c>
      <c r="M350" s="6" t="s">
        <v>25</v>
      </c>
      <c r="N350" s="8" t="s">
        <v>1687</v>
      </c>
      <c r="O350" s="6">
        <f>HYPERLINK("https://docs.wto.org/imrd/directdoc.asp?DDFDocuments/t/G/TBTN24/ARE622.DOCX", "https://docs.wto.org/imrd/directdoc.asp?DDFDocuments/t/G/TBTN24/ARE622.DOCX")</f>
      </c>
      <c r="P350" s="6">
        <f>HYPERLINK("https://docs.wto.org/imrd/directdoc.asp?DDFDocuments/u/G/TBTN24/ARE622.DOCX", "https://docs.wto.org/imrd/directdoc.asp?DDFDocuments/u/G/TBTN24/ARE622.DOCX")</f>
      </c>
      <c r="Q350" s="6">
        <f>HYPERLINK("https://docs.wto.org/imrd/directdoc.asp?DDFDocuments/v/G/TBTN24/ARE622.DOCX", "https://docs.wto.org/imrd/directdoc.asp?DDFDocuments/v/G/TBTN24/ARE622.DOCX")</f>
      </c>
    </row>
    <row r="351">
      <c r="A351" s="6" t="s">
        <v>1688</v>
      </c>
      <c r="B351" s="7">
        <v>45526</v>
      </c>
      <c r="C351" s="6">
        <f>HYPERLINK("https://eping.wto.org/en/Search?viewData= G/TBT/N/THA/739/Add.1"," G/TBT/N/THA/739/Add.1")</f>
      </c>
      <c r="D351" s="8" t="s">
        <v>1689</v>
      </c>
      <c r="E351" s="8" t="s">
        <v>1690</v>
      </c>
      <c r="F351" s="8" t="s">
        <v>1691</v>
      </c>
      <c r="G351" s="6" t="s">
        <v>1692</v>
      </c>
      <c r="H351" s="6" t="s">
        <v>1693</v>
      </c>
      <c r="I351" s="6" t="s">
        <v>75</v>
      </c>
      <c r="J351" s="6" t="s">
        <v>122</v>
      </c>
      <c r="K351" s="6"/>
      <c r="L351" s="7" t="s">
        <v>40</v>
      </c>
      <c r="M351" s="6" t="s">
        <v>76</v>
      </c>
      <c r="N351" s="8" t="s">
        <v>1694</v>
      </c>
      <c r="O351" s="6">
        <f>HYPERLINK("https://docs.wto.org/imrd/directdoc.asp?DDFDocuments/t/G/TBTN24/THA739A1.DOCX", "https://docs.wto.org/imrd/directdoc.asp?DDFDocuments/t/G/TBTN24/THA739A1.DOCX")</f>
      </c>
      <c r="P351" s="6">
        <f>HYPERLINK("https://docs.wto.org/imrd/directdoc.asp?DDFDocuments/u/G/TBTN24/THA739A1.DOCX", "https://docs.wto.org/imrd/directdoc.asp?DDFDocuments/u/G/TBTN24/THA739A1.DOCX")</f>
      </c>
      <c r="Q351" s="6">
        <f>HYPERLINK("https://docs.wto.org/imrd/directdoc.asp?DDFDocuments/v/G/TBTN24/THA739A1.DOCX", "https://docs.wto.org/imrd/directdoc.asp?DDFDocuments/v/G/TBTN24/THA739A1.DOCX")</f>
      </c>
    </row>
    <row r="352">
      <c r="A352" s="6" t="s">
        <v>515</v>
      </c>
      <c r="B352" s="7">
        <v>45526</v>
      </c>
      <c r="C352" s="6">
        <f>HYPERLINK("https://eping.wto.org/en/Search?viewData= G/SPS/N/EU/791"," G/SPS/N/EU/791")</f>
      </c>
      <c r="D352" s="8" t="s">
        <v>1695</v>
      </c>
      <c r="E352" s="8" t="s">
        <v>1696</v>
      </c>
      <c r="F352" s="8" t="s">
        <v>1697</v>
      </c>
      <c r="G352" s="6" t="s">
        <v>40</v>
      </c>
      <c r="H352" s="6" t="s">
        <v>40</v>
      </c>
      <c r="I352" s="6" t="s">
        <v>38</v>
      </c>
      <c r="J352" s="6" t="s">
        <v>60</v>
      </c>
      <c r="K352" s="6"/>
      <c r="L352" s="7">
        <v>45586</v>
      </c>
      <c r="M352" s="6" t="s">
        <v>25</v>
      </c>
      <c r="N352" s="8" t="s">
        <v>1698</v>
      </c>
      <c r="O352" s="6">
        <f>HYPERLINK("https://docs.wto.org/imrd/directdoc.asp?DDFDocuments/t/G/SPS/NEU791.DOCX", "https://docs.wto.org/imrd/directdoc.asp?DDFDocuments/t/G/SPS/NEU791.DOCX")</f>
      </c>
      <c r="P352" s="6">
        <f>HYPERLINK("https://docs.wto.org/imrd/directdoc.asp?DDFDocuments/u/G/SPS/NEU791.DOCX", "https://docs.wto.org/imrd/directdoc.asp?DDFDocuments/u/G/SPS/NEU791.DOCX")</f>
      </c>
      <c r="Q352" s="6">
        <f>HYPERLINK("https://docs.wto.org/imrd/directdoc.asp?DDFDocuments/v/G/SPS/NEU791.DOCX", "https://docs.wto.org/imrd/directdoc.asp?DDFDocuments/v/G/SPS/NEU791.DOCX")</f>
      </c>
    </row>
    <row r="353">
      <c r="A353" s="6" t="s">
        <v>1636</v>
      </c>
      <c r="B353" s="7">
        <v>45526</v>
      </c>
      <c r="C353" s="6">
        <f>HYPERLINK("https://eping.wto.org/en/Search?viewData= G/TBT/N/ARM/102"," G/TBT/N/ARM/102")</f>
      </c>
      <c r="D353" s="8" t="s">
        <v>1699</v>
      </c>
      <c r="E353" s="8" t="s">
        <v>1700</v>
      </c>
      <c r="F353" s="8" t="s">
        <v>1701</v>
      </c>
      <c r="G353" s="6" t="s">
        <v>1033</v>
      </c>
      <c r="H353" s="6" t="s">
        <v>1456</v>
      </c>
      <c r="I353" s="6" t="s">
        <v>1702</v>
      </c>
      <c r="J353" s="6" t="s">
        <v>1095</v>
      </c>
      <c r="K353" s="6"/>
      <c r="L353" s="7">
        <v>45555</v>
      </c>
      <c r="M353" s="6" t="s">
        <v>25</v>
      </c>
      <c r="N353" s="6"/>
      <c r="O353" s="6">
        <f>HYPERLINK("https://docs.wto.org/imrd/directdoc.asp?DDFDocuments/t/G/TBTN24/ARM102.DOCX", "https://docs.wto.org/imrd/directdoc.asp?DDFDocuments/t/G/TBTN24/ARM102.DOCX")</f>
      </c>
      <c r="P353" s="6">
        <f>HYPERLINK("https://docs.wto.org/imrd/directdoc.asp?DDFDocuments/u/G/TBTN24/ARM102.DOCX", "https://docs.wto.org/imrd/directdoc.asp?DDFDocuments/u/G/TBTN24/ARM102.DOCX")</f>
      </c>
      <c r="Q353" s="6">
        <f>HYPERLINK("https://docs.wto.org/imrd/directdoc.asp?DDFDocuments/v/G/TBTN24/ARM102.DOCX", "https://docs.wto.org/imrd/directdoc.asp?DDFDocuments/v/G/TBTN24/ARM102.DOCX")</f>
      </c>
    </row>
    <row r="354">
      <c r="A354" s="6" t="s">
        <v>1636</v>
      </c>
      <c r="B354" s="7">
        <v>45526</v>
      </c>
      <c r="C354" s="6">
        <f>HYPERLINK("https://eping.wto.org/en/Search?viewData= G/TBT/N/ARM/103"," G/TBT/N/ARM/103")</f>
      </c>
      <c r="D354" s="8" t="s">
        <v>1703</v>
      </c>
      <c r="E354" s="8" t="s">
        <v>1704</v>
      </c>
      <c r="F354" s="8" t="s">
        <v>1705</v>
      </c>
      <c r="G354" s="6" t="s">
        <v>40</v>
      </c>
      <c r="H354" s="6" t="s">
        <v>1706</v>
      </c>
      <c r="I354" s="6" t="s">
        <v>147</v>
      </c>
      <c r="J354" s="6" t="s">
        <v>40</v>
      </c>
      <c r="K354" s="6"/>
      <c r="L354" s="7">
        <v>45559</v>
      </c>
      <c r="M354" s="6" t="s">
        <v>25</v>
      </c>
      <c r="N354" s="6"/>
      <c r="O354" s="6">
        <f>HYPERLINK("https://docs.wto.org/imrd/directdoc.asp?DDFDocuments/t/G/TBTN24/ARM103.DOCX", "https://docs.wto.org/imrd/directdoc.asp?DDFDocuments/t/G/TBTN24/ARM103.DOCX")</f>
      </c>
      <c r="P354" s="6">
        <f>HYPERLINK("https://docs.wto.org/imrd/directdoc.asp?DDFDocuments/u/G/TBTN24/ARM103.DOCX", "https://docs.wto.org/imrd/directdoc.asp?DDFDocuments/u/G/TBTN24/ARM103.DOCX")</f>
      </c>
      <c r="Q354" s="6">
        <f>HYPERLINK("https://docs.wto.org/imrd/directdoc.asp?DDFDocuments/v/G/TBTN24/ARM103.DOCX", "https://docs.wto.org/imrd/directdoc.asp?DDFDocuments/v/G/TBTN24/ARM103.DOCX")</f>
      </c>
    </row>
    <row r="355">
      <c r="A355" s="6" t="s">
        <v>160</v>
      </c>
      <c r="B355" s="7">
        <v>45525</v>
      </c>
      <c r="C355" s="6">
        <f>HYPERLINK("https://eping.wto.org/en/Search?viewData= G/TBT/N/USA/2138"," G/TBT/N/USA/2138")</f>
      </c>
      <c r="D355" s="8" t="s">
        <v>1707</v>
      </c>
      <c r="E355" s="8" t="s">
        <v>1708</v>
      </c>
      <c r="F355" s="8" t="s">
        <v>1709</v>
      </c>
      <c r="G355" s="6" t="s">
        <v>40</v>
      </c>
      <c r="H355" s="6" t="s">
        <v>229</v>
      </c>
      <c r="I355" s="6" t="s">
        <v>213</v>
      </c>
      <c r="J355" s="6" t="s">
        <v>40</v>
      </c>
      <c r="K355" s="6"/>
      <c r="L355" s="7">
        <v>45554</v>
      </c>
      <c r="M355" s="6" t="s">
        <v>25</v>
      </c>
      <c r="N355" s="8" t="s">
        <v>1710</v>
      </c>
      <c r="O355" s="6">
        <f>HYPERLINK("https://docs.wto.org/imrd/directdoc.asp?DDFDocuments/t/G/TBTN24/USA2138.DOCX", "https://docs.wto.org/imrd/directdoc.asp?DDFDocuments/t/G/TBTN24/USA2138.DOCX")</f>
      </c>
      <c r="P355" s="6">
        <f>HYPERLINK("https://docs.wto.org/imrd/directdoc.asp?DDFDocuments/u/G/TBTN24/USA2138.DOCX", "https://docs.wto.org/imrd/directdoc.asp?DDFDocuments/u/G/TBTN24/USA2138.DOCX")</f>
      </c>
      <c r="Q355" s="6">
        <f>HYPERLINK("https://docs.wto.org/imrd/directdoc.asp?DDFDocuments/v/G/TBTN24/USA2138.DOCX", "https://docs.wto.org/imrd/directdoc.asp?DDFDocuments/v/G/TBTN24/USA2138.DOCX")</f>
      </c>
    </row>
    <row r="356">
      <c r="A356" s="6" t="s">
        <v>160</v>
      </c>
      <c r="B356" s="7">
        <v>45525</v>
      </c>
      <c r="C356" s="6">
        <f>HYPERLINK("https://eping.wto.org/en/Search?viewData= G/TBT/N/USA/2097/Add.2"," G/TBT/N/USA/2097/Add.2")</f>
      </c>
      <c r="D356" s="8" t="s">
        <v>1711</v>
      </c>
      <c r="E356" s="8" t="s">
        <v>1712</v>
      </c>
      <c r="F356" s="8" t="s">
        <v>1713</v>
      </c>
      <c r="G356" s="6" t="s">
        <v>40</v>
      </c>
      <c r="H356" s="6" t="s">
        <v>1714</v>
      </c>
      <c r="I356" s="6" t="s">
        <v>1715</v>
      </c>
      <c r="J356" s="6" t="s">
        <v>40</v>
      </c>
      <c r="K356" s="6"/>
      <c r="L356" s="7" t="s">
        <v>40</v>
      </c>
      <c r="M356" s="6" t="s">
        <v>76</v>
      </c>
      <c r="N356" s="8" t="s">
        <v>1716</v>
      </c>
      <c r="O356" s="6">
        <f>HYPERLINK("https://docs.wto.org/imrd/directdoc.asp?DDFDocuments/t/G/TBTN24/USA2097A2.DOCX", "https://docs.wto.org/imrd/directdoc.asp?DDFDocuments/t/G/TBTN24/USA2097A2.DOCX")</f>
      </c>
      <c r="P356" s="6">
        <f>HYPERLINK("https://docs.wto.org/imrd/directdoc.asp?DDFDocuments/u/G/TBTN24/USA2097A2.DOCX", "https://docs.wto.org/imrd/directdoc.asp?DDFDocuments/u/G/TBTN24/USA2097A2.DOCX")</f>
      </c>
      <c r="Q356" s="6">
        <f>HYPERLINK("https://docs.wto.org/imrd/directdoc.asp?DDFDocuments/v/G/TBTN24/USA2097A2.DOCX", "https://docs.wto.org/imrd/directdoc.asp?DDFDocuments/v/G/TBTN24/USA2097A2.DOCX")</f>
      </c>
    </row>
    <row r="357">
      <c r="A357" s="6" t="s">
        <v>442</v>
      </c>
      <c r="B357" s="7">
        <v>45525</v>
      </c>
      <c r="C357" s="6">
        <f>HYPERLINK("https://eping.wto.org/en/Search?viewData= G/TBT/N/MEX/537"," G/TBT/N/MEX/537")</f>
      </c>
      <c r="D357" s="8" t="s">
        <v>1717</v>
      </c>
      <c r="E357" s="8" t="s">
        <v>1718</v>
      </c>
      <c r="F357" s="8" t="s">
        <v>1719</v>
      </c>
      <c r="G357" s="6" t="s">
        <v>40</v>
      </c>
      <c r="H357" s="6" t="s">
        <v>1720</v>
      </c>
      <c r="I357" s="6" t="s">
        <v>213</v>
      </c>
      <c r="J357" s="6" t="s">
        <v>40</v>
      </c>
      <c r="K357" s="6"/>
      <c r="L357" s="7">
        <v>45585</v>
      </c>
      <c r="M357" s="6" t="s">
        <v>25</v>
      </c>
      <c r="N357" s="8" t="s">
        <v>1721</v>
      </c>
      <c r="O357" s="6">
        <f>HYPERLINK("https://docs.wto.org/imrd/directdoc.asp?DDFDocuments/t/G/TBTN24/MEX537.DOCX", "https://docs.wto.org/imrd/directdoc.asp?DDFDocuments/t/G/TBTN24/MEX537.DOCX")</f>
      </c>
      <c r="P357" s="6">
        <f>HYPERLINK("https://docs.wto.org/imrd/directdoc.asp?DDFDocuments/u/G/TBTN24/MEX537.DOCX", "https://docs.wto.org/imrd/directdoc.asp?DDFDocuments/u/G/TBTN24/MEX537.DOCX")</f>
      </c>
      <c r="Q357" s="6">
        <f>HYPERLINK("https://docs.wto.org/imrd/directdoc.asp?DDFDocuments/v/G/TBTN24/MEX537.DOCX", "https://docs.wto.org/imrd/directdoc.asp?DDFDocuments/v/G/TBTN24/MEX537.DOCX")</f>
      </c>
    </row>
    <row r="358">
      <c r="A358" s="6" t="s">
        <v>515</v>
      </c>
      <c r="B358" s="7">
        <v>45525</v>
      </c>
      <c r="C358" s="6">
        <f>HYPERLINK("https://eping.wto.org/en/Search?viewData= G/SPS/N/EU/790"," G/SPS/N/EU/790")</f>
      </c>
      <c r="D358" s="8" t="s">
        <v>1722</v>
      </c>
      <c r="E358" s="8" t="s">
        <v>1723</v>
      </c>
      <c r="F358" s="8" t="s">
        <v>1724</v>
      </c>
      <c r="G358" s="6" t="s">
        <v>40</v>
      </c>
      <c r="H358" s="6" t="s">
        <v>40</v>
      </c>
      <c r="I358" s="6" t="s">
        <v>1725</v>
      </c>
      <c r="J358" s="6" t="s">
        <v>1295</v>
      </c>
      <c r="K358" s="6"/>
      <c r="L358" s="7" t="s">
        <v>40</v>
      </c>
      <c r="M358" s="6" t="s">
        <v>25</v>
      </c>
      <c r="N358" s="8" t="s">
        <v>1726</v>
      </c>
      <c r="O358" s="6">
        <f>HYPERLINK("https://docs.wto.org/imrd/directdoc.asp?DDFDocuments/t/G/SPS/NEU790.DOCX", "https://docs.wto.org/imrd/directdoc.asp?DDFDocuments/t/G/SPS/NEU790.DOCX")</f>
      </c>
      <c r="P358" s="6">
        <f>HYPERLINK("https://docs.wto.org/imrd/directdoc.asp?DDFDocuments/u/G/SPS/NEU790.DOCX", "https://docs.wto.org/imrd/directdoc.asp?DDFDocuments/u/G/SPS/NEU790.DOCX")</f>
      </c>
      <c r="Q358" s="6">
        <f>HYPERLINK("https://docs.wto.org/imrd/directdoc.asp?DDFDocuments/v/G/SPS/NEU790.DOCX", "https://docs.wto.org/imrd/directdoc.asp?DDFDocuments/v/G/SPS/NEU790.DOCX")</f>
      </c>
    </row>
    <row r="359">
      <c r="A359" s="6" t="s">
        <v>198</v>
      </c>
      <c r="B359" s="7">
        <v>45525</v>
      </c>
      <c r="C359" s="6">
        <f>HYPERLINK("https://eping.wto.org/en/Search?viewData= G/SPS/N/CHL/649/Rev.1"," G/SPS/N/CHL/649/Rev.1")</f>
      </c>
      <c r="D359" s="8" t="s">
        <v>1727</v>
      </c>
      <c r="E359" s="8" t="s">
        <v>1728</v>
      </c>
      <c r="F359" s="8" t="s">
        <v>1729</v>
      </c>
      <c r="G359" s="6" t="s">
        <v>1730</v>
      </c>
      <c r="H359" s="6" t="s">
        <v>40</v>
      </c>
      <c r="I359" s="6" t="s">
        <v>369</v>
      </c>
      <c r="J359" s="6" t="s">
        <v>1731</v>
      </c>
      <c r="K359" s="6" t="s">
        <v>160</v>
      </c>
      <c r="L359" s="7" t="s">
        <v>40</v>
      </c>
      <c r="M359" s="6" t="s">
        <v>214</v>
      </c>
      <c r="N359" s="8" t="s">
        <v>1732</v>
      </c>
      <c r="O359" s="6">
        <f>HYPERLINK("https://docs.wto.org/imrd/directdoc.asp?DDFDocuments/t/G/SPS/NCHL649R1.DOCX", "https://docs.wto.org/imrd/directdoc.asp?DDFDocuments/t/G/SPS/NCHL649R1.DOCX")</f>
      </c>
      <c r="P359" s="6">
        <f>HYPERLINK("https://docs.wto.org/imrd/directdoc.asp?DDFDocuments/u/G/SPS/NCHL649R1.DOCX", "https://docs.wto.org/imrd/directdoc.asp?DDFDocuments/u/G/SPS/NCHL649R1.DOCX")</f>
      </c>
      <c r="Q359" s="6">
        <f>HYPERLINK("https://docs.wto.org/imrd/directdoc.asp?DDFDocuments/v/G/SPS/NCHL649R1.DOCX", "https://docs.wto.org/imrd/directdoc.asp?DDFDocuments/v/G/SPS/NCHL649R1.DOCX")</f>
      </c>
    </row>
    <row r="360">
      <c r="A360" s="6" t="s">
        <v>167</v>
      </c>
      <c r="B360" s="7">
        <v>45525</v>
      </c>
      <c r="C360" s="6">
        <f>HYPERLINK("https://eping.wto.org/en/Search?viewData= G/TBT/N/TUR/219"," G/TBT/N/TUR/219")</f>
      </c>
      <c r="D360" s="8" t="s">
        <v>1733</v>
      </c>
      <c r="E360" s="8" t="s">
        <v>1734</v>
      </c>
      <c r="F360" s="8" t="s">
        <v>1735</v>
      </c>
      <c r="G360" s="6" t="s">
        <v>1736</v>
      </c>
      <c r="H360" s="6" t="s">
        <v>1737</v>
      </c>
      <c r="I360" s="6" t="s">
        <v>147</v>
      </c>
      <c r="J360" s="6" t="s">
        <v>24</v>
      </c>
      <c r="K360" s="6"/>
      <c r="L360" s="7">
        <v>45585</v>
      </c>
      <c r="M360" s="6" t="s">
        <v>25</v>
      </c>
      <c r="N360" s="8" t="s">
        <v>1738</v>
      </c>
      <c r="O360" s="6">
        <f>HYPERLINK("https://docs.wto.org/imrd/directdoc.asp?DDFDocuments/t/G/TBTN24/TUR219.DOCX", "https://docs.wto.org/imrd/directdoc.asp?DDFDocuments/t/G/TBTN24/TUR219.DOCX")</f>
      </c>
      <c r="P360" s="6">
        <f>HYPERLINK("https://docs.wto.org/imrd/directdoc.asp?DDFDocuments/u/G/TBTN24/TUR219.DOCX", "https://docs.wto.org/imrd/directdoc.asp?DDFDocuments/u/G/TBTN24/TUR219.DOCX")</f>
      </c>
      <c r="Q360" s="6">
        <f>HYPERLINK("https://docs.wto.org/imrd/directdoc.asp?DDFDocuments/v/G/TBTN24/TUR219.DOCX", "https://docs.wto.org/imrd/directdoc.asp?DDFDocuments/v/G/TBTN24/TUR219.DOCX")</f>
      </c>
    </row>
    <row r="361">
      <c r="A361" s="6" t="s">
        <v>392</v>
      </c>
      <c r="B361" s="7">
        <v>45525</v>
      </c>
      <c r="C361" s="6">
        <f>HYPERLINK("https://eping.wto.org/en/Search?viewData= G/TBT/N/SAU/1167/Add.1"," G/TBT/N/SAU/1167/Add.1")</f>
      </c>
      <c r="D361" s="8" t="s">
        <v>1739</v>
      </c>
      <c r="E361" s="8" t="s">
        <v>1740</v>
      </c>
      <c r="F361" s="8" t="s">
        <v>1741</v>
      </c>
      <c r="G361" s="6" t="s">
        <v>40</v>
      </c>
      <c r="H361" s="6" t="s">
        <v>1742</v>
      </c>
      <c r="I361" s="6" t="s">
        <v>121</v>
      </c>
      <c r="J361" s="6" t="s">
        <v>148</v>
      </c>
      <c r="K361" s="6"/>
      <c r="L361" s="7" t="s">
        <v>40</v>
      </c>
      <c r="M361" s="6" t="s">
        <v>76</v>
      </c>
      <c r="N361" s="8" t="s">
        <v>1743</v>
      </c>
      <c r="O361" s="6">
        <f>HYPERLINK("https://docs.wto.org/imrd/directdoc.asp?DDFDocuments/t/G/TBTN20/SAU1167A1.DOCX", "https://docs.wto.org/imrd/directdoc.asp?DDFDocuments/t/G/TBTN20/SAU1167A1.DOCX")</f>
      </c>
      <c r="P361" s="6">
        <f>HYPERLINK("https://docs.wto.org/imrd/directdoc.asp?DDFDocuments/u/G/TBTN20/SAU1167A1.DOCX", "https://docs.wto.org/imrd/directdoc.asp?DDFDocuments/u/G/TBTN20/SAU1167A1.DOCX")</f>
      </c>
      <c r="Q361" s="6">
        <f>HYPERLINK("https://docs.wto.org/imrd/directdoc.asp?DDFDocuments/v/G/TBTN20/SAU1167A1.DOCX", "https://docs.wto.org/imrd/directdoc.asp?DDFDocuments/v/G/TBTN20/SAU1167A1.DOCX")</f>
      </c>
    </row>
    <row r="362">
      <c r="A362" s="6" t="s">
        <v>1688</v>
      </c>
      <c r="B362" s="7">
        <v>45525</v>
      </c>
      <c r="C362" s="6">
        <f>HYPERLINK("https://eping.wto.org/en/Search?viewData= G/SPS/N/THA/755"," G/SPS/N/THA/755")</f>
      </c>
      <c r="D362" s="8" t="s">
        <v>1744</v>
      </c>
      <c r="E362" s="8" t="s">
        <v>1745</v>
      </c>
      <c r="F362" s="8" t="s">
        <v>1746</v>
      </c>
      <c r="G362" s="6" t="s">
        <v>36</v>
      </c>
      <c r="H362" s="6" t="s">
        <v>31</v>
      </c>
      <c r="I362" s="6" t="s">
        <v>38</v>
      </c>
      <c r="J362" s="6" t="s">
        <v>60</v>
      </c>
      <c r="K362" s="6" t="s">
        <v>40</v>
      </c>
      <c r="L362" s="7">
        <v>45575</v>
      </c>
      <c r="M362" s="6" t="s">
        <v>25</v>
      </c>
      <c r="N362" s="8" t="s">
        <v>1747</v>
      </c>
      <c r="O362" s="6">
        <f>HYPERLINK("https://docs.wto.org/imrd/directdoc.asp?DDFDocuments/t/G/SPS/NTHA755.DOCX", "https://docs.wto.org/imrd/directdoc.asp?DDFDocuments/t/G/SPS/NTHA755.DOCX")</f>
      </c>
      <c r="P362" s="6">
        <f>HYPERLINK("https://docs.wto.org/imrd/directdoc.asp?DDFDocuments/u/G/SPS/NTHA755.DOCX", "https://docs.wto.org/imrd/directdoc.asp?DDFDocuments/u/G/SPS/NTHA755.DOCX")</f>
      </c>
      <c r="Q362" s="6">
        <f>HYPERLINK("https://docs.wto.org/imrd/directdoc.asp?DDFDocuments/v/G/SPS/NTHA755.DOCX", "https://docs.wto.org/imrd/directdoc.asp?DDFDocuments/v/G/SPS/NTHA755.DOCX")</f>
      </c>
    </row>
    <row r="363">
      <c r="A363" s="6" t="s">
        <v>99</v>
      </c>
      <c r="B363" s="7">
        <v>45524</v>
      </c>
      <c r="C363" s="6">
        <f>HYPERLINK("https://eping.wto.org/en/Search?viewData= G/SPS/N/AUS/596"," G/SPS/N/AUS/596")</f>
      </c>
      <c r="D363" s="8" t="s">
        <v>1748</v>
      </c>
      <c r="E363" s="8" t="s">
        <v>1749</v>
      </c>
      <c r="F363" s="8" t="s">
        <v>1750</v>
      </c>
      <c r="G363" s="6" t="s">
        <v>40</v>
      </c>
      <c r="H363" s="6" t="s">
        <v>40</v>
      </c>
      <c r="I363" s="6" t="s">
        <v>791</v>
      </c>
      <c r="J363" s="6" t="s">
        <v>792</v>
      </c>
      <c r="K363" s="6" t="s">
        <v>40</v>
      </c>
      <c r="L363" s="7" t="s">
        <v>40</v>
      </c>
      <c r="M363" s="6" t="s">
        <v>25</v>
      </c>
      <c r="N363" s="8" t="s">
        <v>1751</v>
      </c>
      <c r="O363" s="6">
        <f>HYPERLINK("https://docs.wto.org/imrd/directdoc.asp?DDFDocuments/t/G/SPS/NAUS596.DOCX", "https://docs.wto.org/imrd/directdoc.asp?DDFDocuments/t/G/SPS/NAUS596.DOCX")</f>
      </c>
      <c r="P363" s="6">
        <f>HYPERLINK("https://docs.wto.org/imrd/directdoc.asp?DDFDocuments/u/G/SPS/NAUS596.DOCX", "https://docs.wto.org/imrd/directdoc.asp?DDFDocuments/u/G/SPS/NAUS596.DOCX")</f>
      </c>
      <c r="Q363" s="6">
        <f>HYPERLINK("https://docs.wto.org/imrd/directdoc.asp?DDFDocuments/v/G/SPS/NAUS596.DOCX", "https://docs.wto.org/imrd/directdoc.asp?DDFDocuments/v/G/SPS/NAUS596.DOCX")</f>
      </c>
    </row>
    <row r="364">
      <c r="A364" s="6" t="s">
        <v>307</v>
      </c>
      <c r="B364" s="7">
        <v>45524</v>
      </c>
      <c r="C364" s="6">
        <f>HYPERLINK("https://eping.wto.org/en/Search?viewData= G/SPS/N/CAN/1553/Add.1"," G/SPS/N/CAN/1553/Add.1")</f>
      </c>
      <c r="D364" s="8" t="s">
        <v>1752</v>
      </c>
      <c r="E364" s="8" t="s">
        <v>1753</v>
      </c>
      <c r="F364" s="8" t="s">
        <v>1754</v>
      </c>
      <c r="G364" s="6" t="s">
        <v>40</v>
      </c>
      <c r="H364" s="6" t="s">
        <v>1755</v>
      </c>
      <c r="I364" s="6" t="s">
        <v>38</v>
      </c>
      <c r="J364" s="6" t="s">
        <v>1756</v>
      </c>
      <c r="K364" s="6"/>
      <c r="L364" s="7" t="s">
        <v>40</v>
      </c>
      <c r="M364" s="6" t="s">
        <v>76</v>
      </c>
      <c r="N364" s="6"/>
      <c r="O364" s="6">
        <f>HYPERLINK("https://docs.wto.org/imrd/directdoc.asp?DDFDocuments/t/G/SPS/NCAN1553A1.DOCX", "https://docs.wto.org/imrd/directdoc.asp?DDFDocuments/t/G/SPS/NCAN1553A1.DOCX")</f>
      </c>
      <c r="P364" s="6">
        <f>HYPERLINK("https://docs.wto.org/imrd/directdoc.asp?DDFDocuments/u/G/SPS/NCAN1553A1.DOCX", "https://docs.wto.org/imrd/directdoc.asp?DDFDocuments/u/G/SPS/NCAN1553A1.DOCX")</f>
      </c>
      <c r="Q364" s="6">
        <f>HYPERLINK("https://docs.wto.org/imrd/directdoc.asp?DDFDocuments/v/G/SPS/NCAN1553A1.DOCX", "https://docs.wto.org/imrd/directdoc.asp?DDFDocuments/v/G/SPS/NCAN1553A1.DOCX")</f>
      </c>
    </row>
    <row r="365">
      <c r="A365" s="6" t="s">
        <v>1688</v>
      </c>
      <c r="B365" s="7">
        <v>45524</v>
      </c>
      <c r="C365" s="6">
        <f>HYPERLINK("https://eping.wto.org/en/Search?viewData= G/TBT/N/THA/751"," G/TBT/N/THA/751")</f>
      </c>
      <c r="D365" s="8" t="s">
        <v>1757</v>
      </c>
      <c r="E365" s="8" t="s">
        <v>1758</v>
      </c>
      <c r="F365" s="8" t="s">
        <v>1759</v>
      </c>
      <c r="G365" s="6" t="s">
        <v>40</v>
      </c>
      <c r="H365" s="6" t="s">
        <v>1760</v>
      </c>
      <c r="I365" s="6" t="s">
        <v>280</v>
      </c>
      <c r="J365" s="6" t="s">
        <v>40</v>
      </c>
      <c r="K365" s="6"/>
      <c r="L365" s="7">
        <v>45554</v>
      </c>
      <c r="M365" s="6" t="s">
        <v>25</v>
      </c>
      <c r="N365" s="8" t="s">
        <v>1761</v>
      </c>
      <c r="O365" s="6">
        <f>HYPERLINK("https://docs.wto.org/imrd/directdoc.asp?DDFDocuments/t/G/TBTN24/THA751.DOCX", "https://docs.wto.org/imrd/directdoc.asp?DDFDocuments/t/G/TBTN24/THA751.DOCX")</f>
      </c>
      <c r="P365" s="6">
        <f>HYPERLINK("https://docs.wto.org/imrd/directdoc.asp?DDFDocuments/u/G/TBTN24/THA751.DOCX", "https://docs.wto.org/imrd/directdoc.asp?DDFDocuments/u/G/TBTN24/THA751.DOCX")</f>
      </c>
      <c r="Q365" s="6">
        <f>HYPERLINK("https://docs.wto.org/imrd/directdoc.asp?DDFDocuments/v/G/TBTN24/THA751.DOCX", "https://docs.wto.org/imrd/directdoc.asp?DDFDocuments/v/G/TBTN24/THA751.DOCX")</f>
      </c>
    </row>
    <row r="366">
      <c r="A366" s="6" t="s">
        <v>167</v>
      </c>
      <c r="B366" s="7">
        <v>45524</v>
      </c>
      <c r="C366" s="6">
        <f>HYPERLINK("https://eping.wto.org/en/Search?viewData= G/TBT/N/TUR/180/Add.1/Corr.1"," G/TBT/N/TUR/180/Add.1/Corr.1")</f>
      </c>
      <c r="D366" s="8" t="s">
        <v>1762</v>
      </c>
      <c r="E366" s="8" t="s">
        <v>1763</v>
      </c>
      <c r="F366" s="8" t="s">
        <v>1764</v>
      </c>
      <c r="G366" s="6" t="s">
        <v>40</v>
      </c>
      <c r="H366" s="6" t="s">
        <v>1765</v>
      </c>
      <c r="I366" s="6" t="s">
        <v>1766</v>
      </c>
      <c r="J366" s="6" t="s">
        <v>40</v>
      </c>
      <c r="K366" s="6"/>
      <c r="L366" s="7" t="s">
        <v>40</v>
      </c>
      <c r="M366" s="6" t="s">
        <v>224</v>
      </c>
      <c r="N366" s="8" t="s">
        <v>1767</v>
      </c>
      <c r="O366" s="6">
        <f>HYPERLINK("https://docs.wto.org/imrd/directdoc.asp?DDFDocuments/t/G/TBTN21/TUR180A1C1.DOCX", "https://docs.wto.org/imrd/directdoc.asp?DDFDocuments/t/G/TBTN21/TUR180A1C1.DOCX")</f>
      </c>
      <c r="P366" s="6">
        <f>HYPERLINK("https://docs.wto.org/imrd/directdoc.asp?DDFDocuments/u/G/TBTN21/TUR180A1C1.DOCX", "https://docs.wto.org/imrd/directdoc.asp?DDFDocuments/u/G/TBTN21/TUR180A1C1.DOCX")</f>
      </c>
      <c r="Q366" s="6">
        <f>HYPERLINK("https://docs.wto.org/imrd/directdoc.asp?DDFDocuments/v/G/TBTN21/TUR180A1C1.DOCX", "https://docs.wto.org/imrd/directdoc.asp?DDFDocuments/v/G/TBTN21/TUR180A1C1.DOCX")</f>
      </c>
    </row>
    <row r="367">
      <c r="A367" s="6" t="s">
        <v>70</v>
      </c>
      <c r="B367" s="7">
        <v>45524</v>
      </c>
      <c r="C367" s="6">
        <f>HYPERLINK("https://eping.wto.org/en/Search?viewData= G/SPS/N/UKR/227"," G/SPS/N/UKR/227")</f>
      </c>
      <c r="D367" s="8" t="s">
        <v>1768</v>
      </c>
      <c r="E367" s="8" t="s">
        <v>1769</v>
      </c>
      <c r="F367" s="8" t="s">
        <v>1770</v>
      </c>
      <c r="G367" s="6" t="s">
        <v>40</v>
      </c>
      <c r="H367" s="6" t="s">
        <v>40</v>
      </c>
      <c r="I367" s="6" t="s">
        <v>1420</v>
      </c>
      <c r="J367" s="6" t="s">
        <v>95</v>
      </c>
      <c r="K367" s="6" t="s">
        <v>40</v>
      </c>
      <c r="L367" s="7">
        <v>45584</v>
      </c>
      <c r="M367" s="6" t="s">
        <v>25</v>
      </c>
      <c r="N367" s="8" t="s">
        <v>1771</v>
      </c>
      <c r="O367" s="6">
        <f>HYPERLINK("https://docs.wto.org/imrd/directdoc.asp?DDFDocuments/t/G/SPS/NUKR227.DOCX", "https://docs.wto.org/imrd/directdoc.asp?DDFDocuments/t/G/SPS/NUKR227.DOCX")</f>
      </c>
      <c r="P367" s="6">
        <f>HYPERLINK("https://docs.wto.org/imrd/directdoc.asp?DDFDocuments/u/G/SPS/NUKR227.DOCX", "https://docs.wto.org/imrd/directdoc.asp?DDFDocuments/u/G/SPS/NUKR227.DOCX")</f>
      </c>
      <c r="Q367" s="6">
        <f>HYPERLINK("https://docs.wto.org/imrd/directdoc.asp?DDFDocuments/v/G/SPS/NUKR227.DOCX", "https://docs.wto.org/imrd/directdoc.asp?DDFDocuments/v/G/SPS/NUKR227.DOCX")</f>
      </c>
    </row>
    <row r="368">
      <c r="A368" s="6" t="s">
        <v>167</v>
      </c>
      <c r="B368" s="7">
        <v>45524</v>
      </c>
      <c r="C368" s="6">
        <f>HYPERLINK("https://eping.wto.org/en/Search?viewData= G/TBT/N/TUR/166/Corr.1"," G/TBT/N/TUR/166/Corr.1")</f>
      </c>
      <c r="D368" s="8" t="s">
        <v>1772</v>
      </c>
      <c r="E368" s="8" t="s">
        <v>1763</v>
      </c>
      <c r="F368" s="8" t="s">
        <v>1773</v>
      </c>
      <c r="G368" s="6" t="s">
        <v>40</v>
      </c>
      <c r="H368" s="6" t="s">
        <v>1148</v>
      </c>
      <c r="I368" s="6" t="s">
        <v>1766</v>
      </c>
      <c r="J368" s="6" t="s">
        <v>148</v>
      </c>
      <c r="K368" s="6"/>
      <c r="L368" s="7" t="s">
        <v>40</v>
      </c>
      <c r="M368" s="6" t="s">
        <v>224</v>
      </c>
      <c r="N368" s="8" t="s">
        <v>1774</v>
      </c>
      <c r="O368" s="6">
        <f>HYPERLINK("https://docs.wto.org/imrd/directdoc.asp?DDFDocuments/t/G/TBTN21/TUR166C1.DOCX", "https://docs.wto.org/imrd/directdoc.asp?DDFDocuments/t/G/TBTN21/TUR166C1.DOCX")</f>
      </c>
      <c r="P368" s="6">
        <f>HYPERLINK("https://docs.wto.org/imrd/directdoc.asp?DDFDocuments/u/G/TBTN21/TUR166C1.DOCX", "https://docs.wto.org/imrd/directdoc.asp?DDFDocuments/u/G/TBTN21/TUR166C1.DOCX")</f>
      </c>
      <c r="Q368" s="6">
        <f>HYPERLINK("https://docs.wto.org/imrd/directdoc.asp?DDFDocuments/v/G/TBTN21/TUR166C1.DOCX", "https://docs.wto.org/imrd/directdoc.asp?DDFDocuments/v/G/TBTN21/TUR166C1.DOCX")</f>
      </c>
    </row>
    <row r="369">
      <c r="A369" s="6" t="s">
        <v>1775</v>
      </c>
      <c r="B369" s="7">
        <v>45524</v>
      </c>
      <c r="C369" s="6">
        <f>HYPERLINK("https://eping.wto.org/en/Search?viewData= G/TBT/N/PHL/336"," G/TBT/N/PHL/336")</f>
      </c>
      <c r="D369" s="8" t="s">
        <v>1776</v>
      </c>
      <c r="E369" s="8" t="s">
        <v>1777</v>
      </c>
      <c r="F369" s="8" t="s">
        <v>334</v>
      </c>
      <c r="G369" s="6" t="s">
        <v>40</v>
      </c>
      <c r="H369" s="6" t="s">
        <v>336</v>
      </c>
      <c r="I369" s="6" t="s">
        <v>147</v>
      </c>
      <c r="J369" s="6" t="s">
        <v>24</v>
      </c>
      <c r="K369" s="6"/>
      <c r="L369" s="7">
        <v>45539</v>
      </c>
      <c r="M369" s="6" t="s">
        <v>25</v>
      </c>
      <c r="N369" s="8" t="s">
        <v>1778</v>
      </c>
      <c r="O369" s="6">
        <f>HYPERLINK("https://docs.wto.org/imrd/directdoc.asp?DDFDocuments/t/G/TBTN24/PHL336.DOCX", "https://docs.wto.org/imrd/directdoc.asp?DDFDocuments/t/G/TBTN24/PHL336.DOCX")</f>
      </c>
      <c r="P369" s="6">
        <f>HYPERLINK("https://docs.wto.org/imrd/directdoc.asp?DDFDocuments/u/G/TBTN24/PHL336.DOCX", "https://docs.wto.org/imrd/directdoc.asp?DDFDocuments/u/G/TBTN24/PHL336.DOCX")</f>
      </c>
      <c r="Q369" s="6">
        <f>HYPERLINK("https://docs.wto.org/imrd/directdoc.asp?DDFDocuments/v/G/TBTN24/PHL336.DOCX", "https://docs.wto.org/imrd/directdoc.asp?DDFDocuments/v/G/TBTN24/PHL336.DOCX")</f>
      </c>
    </row>
    <row r="370">
      <c r="A370" s="6" t="s">
        <v>307</v>
      </c>
      <c r="B370" s="7">
        <v>45524</v>
      </c>
      <c r="C370" s="6">
        <f>HYPERLINK("https://eping.wto.org/en/Search?viewData= G/SPS/N/CAN/1552/Add.1"," G/SPS/N/CAN/1552/Add.1")</f>
      </c>
      <c r="D370" s="8" t="s">
        <v>1779</v>
      </c>
      <c r="E370" s="8" t="s">
        <v>1780</v>
      </c>
      <c r="F370" s="8" t="s">
        <v>1781</v>
      </c>
      <c r="G370" s="6" t="s">
        <v>40</v>
      </c>
      <c r="H370" s="6" t="s">
        <v>709</v>
      </c>
      <c r="I370" s="6" t="s">
        <v>38</v>
      </c>
      <c r="J370" s="6" t="s">
        <v>582</v>
      </c>
      <c r="K370" s="6"/>
      <c r="L370" s="7" t="s">
        <v>40</v>
      </c>
      <c r="M370" s="6" t="s">
        <v>76</v>
      </c>
      <c r="N370" s="6"/>
      <c r="O370" s="6">
        <f>HYPERLINK("https://docs.wto.org/imrd/directdoc.asp?DDFDocuments/t/G/SPS/NCAN1552A1.DOCX", "https://docs.wto.org/imrd/directdoc.asp?DDFDocuments/t/G/SPS/NCAN1552A1.DOCX")</f>
      </c>
      <c r="P370" s="6">
        <f>HYPERLINK("https://docs.wto.org/imrd/directdoc.asp?DDFDocuments/u/G/SPS/NCAN1552A1.DOCX", "https://docs.wto.org/imrd/directdoc.asp?DDFDocuments/u/G/SPS/NCAN1552A1.DOCX")</f>
      </c>
      <c r="Q370" s="6">
        <f>HYPERLINK("https://docs.wto.org/imrd/directdoc.asp?DDFDocuments/v/G/SPS/NCAN1552A1.DOCX", "https://docs.wto.org/imrd/directdoc.asp?DDFDocuments/v/G/SPS/NCAN1552A1.DOCX")</f>
      </c>
    </row>
    <row r="371">
      <c r="A371" s="6" t="s">
        <v>1688</v>
      </c>
      <c r="B371" s="7">
        <v>45524</v>
      </c>
      <c r="C371" s="6">
        <f>HYPERLINK("https://eping.wto.org/en/Search?viewData= G/TBT/N/THA/752"," G/TBT/N/THA/752")</f>
      </c>
      <c r="D371" s="8" t="s">
        <v>1782</v>
      </c>
      <c r="E371" s="8" t="s">
        <v>1783</v>
      </c>
      <c r="F371" s="8" t="s">
        <v>1784</v>
      </c>
      <c r="G371" s="6" t="s">
        <v>40</v>
      </c>
      <c r="H371" s="6" t="s">
        <v>1760</v>
      </c>
      <c r="I371" s="6" t="s">
        <v>280</v>
      </c>
      <c r="J371" s="6" t="s">
        <v>40</v>
      </c>
      <c r="K371" s="6"/>
      <c r="L371" s="7">
        <v>45554</v>
      </c>
      <c r="M371" s="6" t="s">
        <v>25</v>
      </c>
      <c r="N371" s="8" t="s">
        <v>1785</v>
      </c>
      <c r="O371" s="6">
        <f>HYPERLINK("https://docs.wto.org/imrd/directdoc.asp?DDFDocuments/t/G/TBTN24/THA752.DOCX", "https://docs.wto.org/imrd/directdoc.asp?DDFDocuments/t/G/TBTN24/THA752.DOCX")</f>
      </c>
      <c r="P371" s="6">
        <f>HYPERLINK("https://docs.wto.org/imrd/directdoc.asp?DDFDocuments/u/G/TBTN24/THA752.DOCX", "https://docs.wto.org/imrd/directdoc.asp?DDFDocuments/u/G/TBTN24/THA752.DOCX")</f>
      </c>
      <c r="Q371" s="6">
        <f>HYPERLINK("https://docs.wto.org/imrd/directdoc.asp?DDFDocuments/v/G/TBTN24/THA752.DOCX", "https://docs.wto.org/imrd/directdoc.asp?DDFDocuments/v/G/TBTN24/THA752.DOCX")</f>
      </c>
    </row>
    <row r="372">
      <c r="A372" s="6" t="s">
        <v>167</v>
      </c>
      <c r="B372" s="7">
        <v>45524</v>
      </c>
      <c r="C372" s="6">
        <f>HYPERLINK("https://eping.wto.org/en/Search?viewData= G/SPS/N/TUR/131/Add.1"," G/SPS/N/TUR/131/Add.1")</f>
      </c>
      <c r="D372" s="8" t="s">
        <v>1150</v>
      </c>
      <c r="E372" s="8" t="s">
        <v>1786</v>
      </c>
      <c r="F372" s="8" t="s">
        <v>1787</v>
      </c>
      <c r="G372" s="6" t="s">
        <v>40</v>
      </c>
      <c r="H372" s="6" t="s">
        <v>40</v>
      </c>
      <c r="I372" s="6" t="s">
        <v>852</v>
      </c>
      <c r="J372" s="6" t="s">
        <v>1788</v>
      </c>
      <c r="K372" s="6"/>
      <c r="L372" s="7" t="s">
        <v>40</v>
      </c>
      <c r="M372" s="6" t="s">
        <v>76</v>
      </c>
      <c r="N372" s="8" t="s">
        <v>1789</v>
      </c>
      <c r="O372" s="6">
        <f>HYPERLINK("https://docs.wto.org/imrd/directdoc.asp?DDFDocuments/t/G/SPS/NTUR131A1.DOCX", "https://docs.wto.org/imrd/directdoc.asp?DDFDocuments/t/G/SPS/NTUR131A1.DOCX")</f>
      </c>
      <c r="P372" s="6">
        <f>HYPERLINK("https://docs.wto.org/imrd/directdoc.asp?DDFDocuments/u/G/SPS/NTUR131A1.DOCX", "https://docs.wto.org/imrd/directdoc.asp?DDFDocuments/u/G/SPS/NTUR131A1.DOCX")</f>
      </c>
      <c r="Q372" s="6">
        <f>HYPERLINK("https://docs.wto.org/imrd/directdoc.asp?DDFDocuments/v/G/SPS/NTUR131A1.DOCX", "https://docs.wto.org/imrd/directdoc.asp?DDFDocuments/v/G/SPS/NTUR131A1.DOCX")</f>
      </c>
    </row>
    <row r="373">
      <c r="A373" s="6" t="s">
        <v>167</v>
      </c>
      <c r="B373" s="7">
        <v>45524</v>
      </c>
      <c r="C373" s="6">
        <f>HYPERLINK("https://eping.wto.org/en/Search?viewData= G/TBT/N/TUR/170/Corr.1"," G/TBT/N/TUR/170/Corr.1")</f>
      </c>
      <c r="D373" s="8" t="s">
        <v>1790</v>
      </c>
      <c r="E373" s="8" t="s">
        <v>1763</v>
      </c>
      <c r="F373" s="8" t="s">
        <v>1791</v>
      </c>
      <c r="G373" s="6" t="s">
        <v>40</v>
      </c>
      <c r="H373" s="6" t="s">
        <v>1148</v>
      </c>
      <c r="I373" s="6" t="s">
        <v>1766</v>
      </c>
      <c r="J373" s="6" t="s">
        <v>40</v>
      </c>
      <c r="K373" s="6"/>
      <c r="L373" s="7" t="s">
        <v>40</v>
      </c>
      <c r="M373" s="6" t="s">
        <v>224</v>
      </c>
      <c r="N373" s="8" t="s">
        <v>1792</v>
      </c>
      <c r="O373" s="6">
        <f>HYPERLINK("https://docs.wto.org/imrd/directdoc.asp?DDFDocuments/t/G/TBTN24/TUR170C1.DOCX", "https://docs.wto.org/imrd/directdoc.asp?DDFDocuments/t/G/TBTN24/TUR170C1.DOCX")</f>
      </c>
      <c r="P373" s="6">
        <f>HYPERLINK("https://docs.wto.org/imrd/directdoc.asp?DDFDocuments/u/G/TBTN24/TUR170C1.DOCX", "https://docs.wto.org/imrd/directdoc.asp?DDFDocuments/u/G/TBTN24/TUR170C1.DOCX")</f>
      </c>
      <c r="Q373" s="6">
        <f>HYPERLINK("https://docs.wto.org/imrd/directdoc.asp?DDFDocuments/v/G/TBTN24/TUR170C1.DOCX", "https://docs.wto.org/imrd/directdoc.asp?DDFDocuments/v/G/TBTN24/TUR170C1.DOCX")</f>
      </c>
    </row>
    <row r="374">
      <c r="A374" s="6" t="s">
        <v>358</v>
      </c>
      <c r="B374" s="7">
        <v>45523</v>
      </c>
      <c r="C374" s="6">
        <f>HYPERLINK("https://eping.wto.org/en/Search?viewData= G/TBT/N/NZL/137"," G/TBT/N/NZL/137")</f>
      </c>
      <c r="D374" s="8" t="s">
        <v>1793</v>
      </c>
      <c r="E374" s="8" t="s">
        <v>1794</v>
      </c>
      <c r="F374" s="8" t="s">
        <v>1795</v>
      </c>
      <c r="G374" s="6" t="s">
        <v>40</v>
      </c>
      <c r="H374" s="6" t="s">
        <v>1796</v>
      </c>
      <c r="I374" s="6" t="s">
        <v>142</v>
      </c>
      <c r="J374" s="6" t="s">
        <v>24</v>
      </c>
      <c r="K374" s="6"/>
      <c r="L374" s="7">
        <v>45583</v>
      </c>
      <c r="M374" s="6" t="s">
        <v>25</v>
      </c>
      <c r="N374" s="8" t="s">
        <v>1797</v>
      </c>
      <c r="O374" s="6">
        <f>HYPERLINK("https://docs.wto.org/imrd/directdoc.asp?DDFDocuments/t/G/TBTN24/NZL137.DOCX", "https://docs.wto.org/imrd/directdoc.asp?DDFDocuments/t/G/TBTN24/NZL137.DOCX")</f>
      </c>
      <c r="P374" s="6">
        <f>HYPERLINK("https://docs.wto.org/imrd/directdoc.asp?DDFDocuments/u/G/TBTN24/NZL137.DOCX", "https://docs.wto.org/imrd/directdoc.asp?DDFDocuments/u/G/TBTN24/NZL137.DOCX")</f>
      </c>
      <c r="Q374" s="6">
        <f>HYPERLINK("https://docs.wto.org/imrd/directdoc.asp?DDFDocuments/v/G/TBTN24/NZL137.DOCX", "https://docs.wto.org/imrd/directdoc.asp?DDFDocuments/v/G/TBTN24/NZL137.DOCX")</f>
      </c>
    </row>
    <row r="375">
      <c r="A375" s="6" t="s">
        <v>344</v>
      </c>
      <c r="B375" s="7">
        <v>45523</v>
      </c>
      <c r="C375" s="6">
        <f>HYPERLINK("https://eping.wto.org/en/Search?viewData= G/TBT/N/ARE/376/Add.1, G/TBT/N/BHR/490/Add.1, G/TBT/N/KWT/372/Add.1, G/TBT/N/OMN/316/Add.1, G/TBT/N/QAT/488/Add.1, G/TBT/N/SAU/1009/Add.1, G/TBT/N/YEM/92/Add.1"," G/TBT/N/ARE/376/Add.1, G/TBT/N/BHR/490/Add.1, G/TBT/N/KWT/372/Add.1, G/TBT/N/OMN/316/Add.1, G/TBT/N/QAT/488/Add.1, G/TBT/N/SAU/1009/Add.1, G/TBT/N/YEM/92/Add.1")</f>
      </c>
      <c r="D375" s="8" t="s">
        <v>1798</v>
      </c>
      <c r="E375" s="8" t="s">
        <v>1799</v>
      </c>
      <c r="F375" s="8" t="s">
        <v>1800</v>
      </c>
      <c r="G375" s="6" t="s">
        <v>40</v>
      </c>
      <c r="H375" s="6" t="s">
        <v>1801</v>
      </c>
      <c r="I375" s="6" t="s">
        <v>147</v>
      </c>
      <c r="J375" s="6" t="s">
        <v>122</v>
      </c>
      <c r="K375" s="6"/>
      <c r="L375" s="7" t="s">
        <v>40</v>
      </c>
      <c r="M375" s="6" t="s">
        <v>76</v>
      </c>
      <c r="N375" s="8" t="s">
        <v>1802</v>
      </c>
      <c r="O375" s="6">
        <f>HYPERLINK("https://docs.wto.org/imrd/directdoc.asp?DDFDocuments/t/G/TBTN17/ARE376A1.DOCX", "https://docs.wto.org/imrd/directdoc.asp?DDFDocuments/t/G/TBTN17/ARE376A1.DOCX")</f>
      </c>
      <c r="P375" s="6">
        <f>HYPERLINK("https://docs.wto.org/imrd/directdoc.asp?DDFDocuments/u/G/TBTN17/ARE376A1.DOCX", "https://docs.wto.org/imrd/directdoc.asp?DDFDocuments/u/G/TBTN17/ARE376A1.DOCX")</f>
      </c>
      <c r="Q375" s="6">
        <f>HYPERLINK("https://docs.wto.org/imrd/directdoc.asp?DDFDocuments/v/G/TBTN17/ARE376A1.DOCX", "https://docs.wto.org/imrd/directdoc.asp?DDFDocuments/v/G/TBTN17/ARE376A1.DOCX")</f>
      </c>
    </row>
    <row r="376">
      <c r="A376" s="6" t="s">
        <v>392</v>
      </c>
      <c r="B376" s="7">
        <v>45523</v>
      </c>
      <c r="C376" s="6">
        <f>HYPERLINK("https://eping.wto.org/en/Search?viewData= G/TBT/N/ARE/619, G/TBT/N/BHR/706, G/TBT/N/KWT/685, G/TBT/N/OMN/530, G/TBT/N/QAT/681, G/TBT/N/SAU/1349, G/TBT/N/YEM/287"," G/TBT/N/ARE/619, G/TBT/N/BHR/706, G/TBT/N/KWT/685, G/TBT/N/OMN/530, G/TBT/N/QAT/681, G/TBT/N/SAU/1349, G/TBT/N/YEM/287")</f>
      </c>
      <c r="D376" s="8" t="s">
        <v>1803</v>
      </c>
      <c r="E376" s="8" t="s">
        <v>1804</v>
      </c>
      <c r="F376" s="8" t="s">
        <v>334</v>
      </c>
      <c r="G376" s="6" t="s">
        <v>40</v>
      </c>
      <c r="H376" s="6" t="s">
        <v>336</v>
      </c>
      <c r="I376" s="6" t="s">
        <v>259</v>
      </c>
      <c r="J376" s="6" t="s">
        <v>1805</v>
      </c>
      <c r="K376" s="6"/>
      <c r="L376" s="7">
        <v>45583</v>
      </c>
      <c r="M376" s="6" t="s">
        <v>25</v>
      </c>
      <c r="N376" s="8" t="s">
        <v>1806</v>
      </c>
      <c r="O376" s="6">
        <f>HYPERLINK("https://docs.wto.org/imrd/directdoc.asp?DDFDocuments/t/G/TBTN24/ARE619.DOCX", "https://docs.wto.org/imrd/directdoc.asp?DDFDocuments/t/G/TBTN24/ARE619.DOCX")</f>
      </c>
      <c r="P376" s="6">
        <f>HYPERLINK("https://docs.wto.org/imrd/directdoc.asp?DDFDocuments/u/G/TBTN24/ARE619.DOCX", "https://docs.wto.org/imrd/directdoc.asp?DDFDocuments/u/G/TBTN24/ARE619.DOCX")</f>
      </c>
      <c r="Q376" s="6">
        <f>HYPERLINK("https://docs.wto.org/imrd/directdoc.asp?DDFDocuments/v/G/TBTN24/ARE619.DOCX", "https://docs.wto.org/imrd/directdoc.asp?DDFDocuments/v/G/TBTN24/ARE619.DOCX")</f>
      </c>
    </row>
    <row r="377">
      <c r="A377" s="6" t="s">
        <v>372</v>
      </c>
      <c r="B377" s="7">
        <v>45523</v>
      </c>
      <c r="C377" s="6">
        <f>HYPERLINK("https://eping.wto.org/en/Search?viewData= G/TBT/N/ARE/619, G/TBT/N/BHR/706, G/TBT/N/KWT/685, G/TBT/N/OMN/530, G/TBT/N/QAT/681, G/TBT/N/SAU/1349, G/TBT/N/YEM/287"," G/TBT/N/ARE/619, G/TBT/N/BHR/706, G/TBT/N/KWT/685, G/TBT/N/OMN/530, G/TBT/N/QAT/681, G/TBT/N/SAU/1349, G/TBT/N/YEM/287")</f>
      </c>
      <c r="D377" s="8" t="s">
        <v>1803</v>
      </c>
      <c r="E377" s="8" t="s">
        <v>1804</v>
      </c>
      <c r="F377" s="8" t="s">
        <v>334</v>
      </c>
      <c r="G377" s="6" t="s">
        <v>40</v>
      </c>
      <c r="H377" s="6" t="s">
        <v>336</v>
      </c>
      <c r="I377" s="6" t="s">
        <v>259</v>
      </c>
      <c r="J377" s="6" t="s">
        <v>1805</v>
      </c>
      <c r="K377" s="6"/>
      <c r="L377" s="7">
        <v>45583</v>
      </c>
      <c r="M377" s="6" t="s">
        <v>25</v>
      </c>
      <c r="N377" s="8" t="s">
        <v>1806</v>
      </c>
      <c r="O377" s="6">
        <f>HYPERLINK("https://docs.wto.org/imrd/directdoc.asp?DDFDocuments/t/G/TBTN24/ARE619.DOCX", "https://docs.wto.org/imrd/directdoc.asp?DDFDocuments/t/G/TBTN24/ARE619.DOCX")</f>
      </c>
      <c r="P377" s="6">
        <f>HYPERLINK("https://docs.wto.org/imrd/directdoc.asp?DDFDocuments/u/G/TBTN24/ARE619.DOCX", "https://docs.wto.org/imrd/directdoc.asp?DDFDocuments/u/G/TBTN24/ARE619.DOCX")</f>
      </c>
      <c r="Q377" s="6">
        <f>HYPERLINK("https://docs.wto.org/imrd/directdoc.asp?DDFDocuments/v/G/TBTN24/ARE619.DOCX", "https://docs.wto.org/imrd/directdoc.asp?DDFDocuments/v/G/TBTN24/ARE619.DOCX")</f>
      </c>
    </row>
    <row r="378">
      <c r="A378" s="6" t="s">
        <v>344</v>
      </c>
      <c r="B378" s="7">
        <v>45523</v>
      </c>
      <c r="C378" s="6">
        <f>HYPERLINK("https://eping.wto.org/en/Search?viewData= G/TBT/N/ARE/620, G/TBT/N/BHR/707, G/TBT/N/KWT/686, G/TBT/N/OMN/531, G/TBT/N/QAT/682, G/TBT/N/SAU/1350, G/TBT/N/YEM/288"," G/TBT/N/ARE/620, G/TBT/N/BHR/707, G/TBT/N/KWT/686, G/TBT/N/OMN/531, G/TBT/N/QAT/682, G/TBT/N/SAU/1350, G/TBT/N/YEM/288")</f>
      </c>
      <c r="D378" s="8" t="s">
        <v>1807</v>
      </c>
      <c r="E378" s="8" t="s">
        <v>1808</v>
      </c>
      <c r="F378" s="8" t="s">
        <v>334</v>
      </c>
      <c r="G378" s="6" t="s">
        <v>40</v>
      </c>
      <c r="H378" s="6" t="s">
        <v>336</v>
      </c>
      <c r="I378" s="6" t="s">
        <v>259</v>
      </c>
      <c r="J378" s="6" t="s">
        <v>24</v>
      </c>
      <c r="K378" s="6"/>
      <c r="L378" s="7">
        <v>45583</v>
      </c>
      <c r="M378" s="6" t="s">
        <v>25</v>
      </c>
      <c r="N378" s="8" t="s">
        <v>1809</v>
      </c>
      <c r="O378" s="6">
        <f>HYPERLINK("https://docs.wto.org/imrd/directdoc.asp?DDFDocuments/t/G/TBTN24/ARE620.DOCX", "https://docs.wto.org/imrd/directdoc.asp?DDFDocuments/t/G/TBTN24/ARE620.DOCX")</f>
      </c>
      <c r="P378" s="6">
        <f>HYPERLINK("https://docs.wto.org/imrd/directdoc.asp?DDFDocuments/u/G/TBTN24/ARE620.DOCX", "https://docs.wto.org/imrd/directdoc.asp?DDFDocuments/u/G/TBTN24/ARE620.DOCX")</f>
      </c>
      <c r="Q378" s="6">
        <f>HYPERLINK("https://docs.wto.org/imrd/directdoc.asp?DDFDocuments/v/G/TBTN24/ARE620.DOCX", "https://docs.wto.org/imrd/directdoc.asp?DDFDocuments/v/G/TBTN24/ARE620.DOCX")</f>
      </c>
    </row>
    <row r="379">
      <c r="A379" s="6" t="s">
        <v>412</v>
      </c>
      <c r="B379" s="7">
        <v>45523</v>
      </c>
      <c r="C379" s="6">
        <f>HYPERLINK("https://eping.wto.org/en/Search?viewData= G/TBT/N/COL/251/Add.4"," G/TBT/N/COL/251/Add.4")</f>
      </c>
      <c r="D379" s="8" t="s">
        <v>1810</v>
      </c>
      <c r="E379" s="8" t="s">
        <v>1811</v>
      </c>
      <c r="F379" s="8" t="s">
        <v>1812</v>
      </c>
      <c r="G379" s="6" t="s">
        <v>1813</v>
      </c>
      <c r="H379" s="6" t="s">
        <v>1814</v>
      </c>
      <c r="I379" s="6" t="s">
        <v>1815</v>
      </c>
      <c r="J379" s="6" t="s">
        <v>40</v>
      </c>
      <c r="K379" s="6"/>
      <c r="L379" s="7" t="s">
        <v>40</v>
      </c>
      <c r="M379" s="6" t="s">
        <v>76</v>
      </c>
      <c r="N379" s="8" t="s">
        <v>1816</v>
      </c>
      <c r="O379" s="6">
        <f>HYPERLINK("https://docs.wto.org/imrd/directdoc.asp?DDFDocuments/t/G/TBTN21/COL251A4.DOCX", "https://docs.wto.org/imrd/directdoc.asp?DDFDocuments/t/G/TBTN21/COL251A4.DOCX")</f>
      </c>
      <c r="P379" s="6">
        <f>HYPERLINK("https://docs.wto.org/imrd/directdoc.asp?DDFDocuments/u/G/TBTN21/COL251A4.DOCX", "https://docs.wto.org/imrd/directdoc.asp?DDFDocuments/u/G/TBTN21/COL251A4.DOCX")</f>
      </c>
      <c r="Q379" s="6">
        <f>HYPERLINK("https://docs.wto.org/imrd/directdoc.asp?DDFDocuments/v/G/TBTN21/COL251A4.DOCX", "https://docs.wto.org/imrd/directdoc.asp?DDFDocuments/v/G/TBTN21/COL251A4.DOCX")</f>
      </c>
    </row>
    <row r="380">
      <c r="A380" s="6" t="s">
        <v>412</v>
      </c>
      <c r="B380" s="7">
        <v>45523</v>
      </c>
      <c r="C380" s="6">
        <f>HYPERLINK("https://eping.wto.org/en/Search?viewData= G/TBT/N/COL/254/Add.1"," G/TBT/N/COL/254/Add.1")</f>
      </c>
      <c r="D380" s="8" t="s">
        <v>1817</v>
      </c>
      <c r="E380" s="8" t="s">
        <v>1818</v>
      </c>
      <c r="F380" s="8" t="s">
        <v>1819</v>
      </c>
      <c r="G380" s="6" t="s">
        <v>1813</v>
      </c>
      <c r="H380" s="6" t="s">
        <v>1820</v>
      </c>
      <c r="I380" s="6" t="s">
        <v>1815</v>
      </c>
      <c r="J380" s="6" t="s">
        <v>40</v>
      </c>
      <c r="K380" s="6"/>
      <c r="L380" s="7" t="s">
        <v>40</v>
      </c>
      <c r="M380" s="6" t="s">
        <v>76</v>
      </c>
      <c r="N380" s="8" t="s">
        <v>1821</v>
      </c>
      <c r="O380" s="6">
        <f>HYPERLINK("https://docs.wto.org/imrd/directdoc.asp?DDFDocuments/t/G/TBTN22/COL254A1.DOCX", "https://docs.wto.org/imrd/directdoc.asp?DDFDocuments/t/G/TBTN22/COL254A1.DOCX")</f>
      </c>
      <c r="P380" s="6">
        <f>HYPERLINK("https://docs.wto.org/imrd/directdoc.asp?DDFDocuments/u/G/TBTN22/COL254A1.DOCX", "https://docs.wto.org/imrd/directdoc.asp?DDFDocuments/u/G/TBTN22/COL254A1.DOCX")</f>
      </c>
      <c r="Q380" s="6">
        <f>HYPERLINK("https://docs.wto.org/imrd/directdoc.asp?DDFDocuments/v/G/TBTN22/COL254A1.DOCX", "https://docs.wto.org/imrd/directdoc.asp?DDFDocuments/v/G/TBTN22/COL254A1.DOCX")</f>
      </c>
    </row>
    <row r="381">
      <c r="A381" s="6" t="s">
        <v>343</v>
      </c>
      <c r="B381" s="7">
        <v>45523</v>
      </c>
      <c r="C381" s="6">
        <f>HYPERLINK("https://eping.wto.org/en/Search?viewData= G/TBT/N/ARE/376/Add.1, G/TBT/N/BHR/490/Add.1, G/TBT/N/KWT/372/Add.1, G/TBT/N/OMN/316/Add.1, G/TBT/N/QAT/488/Add.1, G/TBT/N/SAU/1009/Add.1, G/TBT/N/YEM/92/Add.1"," G/TBT/N/ARE/376/Add.1, G/TBT/N/BHR/490/Add.1, G/TBT/N/KWT/372/Add.1, G/TBT/N/OMN/316/Add.1, G/TBT/N/QAT/488/Add.1, G/TBT/N/SAU/1009/Add.1, G/TBT/N/YEM/92/Add.1")</f>
      </c>
      <c r="D381" s="8" t="s">
        <v>1798</v>
      </c>
      <c r="E381" s="8" t="s">
        <v>1799</v>
      </c>
      <c r="F381" s="8" t="s">
        <v>1800</v>
      </c>
      <c r="G381" s="6" t="s">
        <v>40</v>
      </c>
      <c r="H381" s="6" t="s">
        <v>1801</v>
      </c>
      <c r="I381" s="6" t="s">
        <v>147</v>
      </c>
      <c r="J381" s="6" t="s">
        <v>122</v>
      </c>
      <c r="K381" s="6"/>
      <c r="L381" s="7" t="s">
        <v>40</v>
      </c>
      <c r="M381" s="6" t="s">
        <v>76</v>
      </c>
      <c r="N381" s="8" t="s">
        <v>1802</v>
      </c>
      <c r="O381" s="6">
        <f>HYPERLINK("https://docs.wto.org/imrd/directdoc.asp?DDFDocuments/t/G/TBTN17/ARE376A1.DOCX", "https://docs.wto.org/imrd/directdoc.asp?DDFDocuments/t/G/TBTN17/ARE376A1.DOCX")</f>
      </c>
      <c r="P381" s="6">
        <f>HYPERLINK("https://docs.wto.org/imrd/directdoc.asp?DDFDocuments/u/G/TBTN17/ARE376A1.DOCX", "https://docs.wto.org/imrd/directdoc.asp?DDFDocuments/u/G/TBTN17/ARE376A1.DOCX")</f>
      </c>
      <c r="Q381" s="6">
        <f>HYPERLINK("https://docs.wto.org/imrd/directdoc.asp?DDFDocuments/v/G/TBTN17/ARE376A1.DOCX", "https://docs.wto.org/imrd/directdoc.asp?DDFDocuments/v/G/TBTN17/ARE376A1.DOCX")</f>
      </c>
    </row>
    <row r="382">
      <c r="A382" s="6" t="s">
        <v>392</v>
      </c>
      <c r="B382" s="7">
        <v>45523</v>
      </c>
      <c r="C382" s="6">
        <f>HYPERLINK("https://eping.wto.org/en/Search?viewData= G/TBT/N/ARE/376/Add.1, G/TBT/N/BHR/490/Add.1, G/TBT/N/KWT/372/Add.1, G/TBT/N/OMN/316/Add.1, G/TBT/N/QAT/488/Add.1, G/TBT/N/SAU/1009/Add.1, G/TBT/N/YEM/92/Add.1"," G/TBT/N/ARE/376/Add.1, G/TBT/N/BHR/490/Add.1, G/TBT/N/KWT/372/Add.1, G/TBT/N/OMN/316/Add.1, G/TBT/N/QAT/488/Add.1, G/TBT/N/SAU/1009/Add.1, G/TBT/N/YEM/92/Add.1")</f>
      </c>
      <c r="D382" s="8" t="s">
        <v>1798</v>
      </c>
      <c r="E382" s="8" t="s">
        <v>1799</v>
      </c>
      <c r="F382" s="8" t="s">
        <v>1800</v>
      </c>
      <c r="G382" s="6" t="s">
        <v>40</v>
      </c>
      <c r="H382" s="6" t="s">
        <v>1801</v>
      </c>
      <c r="I382" s="6" t="s">
        <v>147</v>
      </c>
      <c r="J382" s="6" t="s">
        <v>122</v>
      </c>
      <c r="K382" s="6"/>
      <c r="L382" s="7" t="s">
        <v>40</v>
      </c>
      <c r="M382" s="6" t="s">
        <v>76</v>
      </c>
      <c r="N382" s="8" t="s">
        <v>1802</v>
      </c>
      <c r="O382" s="6">
        <f>HYPERLINK("https://docs.wto.org/imrd/directdoc.asp?DDFDocuments/t/G/TBTN17/ARE376A1.DOCX", "https://docs.wto.org/imrd/directdoc.asp?DDFDocuments/t/G/TBTN17/ARE376A1.DOCX")</f>
      </c>
      <c r="P382" s="6">
        <f>HYPERLINK("https://docs.wto.org/imrd/directdoc.asp?DDFDocuments/u/G/TBTN17/ARE376A1.DOCX", "https://docs.wto.org/imrd/directdoc.asp?DDFDocuments/u/G/TBTN17/ARE376A1.DOCX")</f>
      </c>
      <c r="Q382" s="6">
        <f>HYPERLINK("https://docs.wto.org/imrd/directdoc.asp?DDFDocuments/v/G/TBTN17/ARE376A1.DOCX", "https://docs.wto.org/imrd/directdoc.asp?DDFDocuments/v/G/TBTN17/ARE376A1.DOCX")</f>
      </c>
    </row>
    <row r="383">
      <c r="A383" s="6" t="s">
        <v>392</v>
      </c>
      <c r="B383" s="7">
        <v>45523</v>
      </c>
      <c r="C383" s="6">
        <f>HYPERLINK("https://eping.wto.org/en/Search?viewData= G/TBT/N/ARE/620, G/TBT/N/BHR/707, G/TBT/N/KWT/686, G/TBT/N/OMN/531, G/TBT/N/QAT/682, G/TBT/N/SAU/1350, G/TBT/N/YEM/288"," G/TBT/N/ARE/620, G/TBT/N/BHR/707, G/TBT/N/KWT/686, G/TBT/N/OMN/531, G/TBT/N/QAT/682, G/TBT/N/SAU/1350, G/TBT/N/YEM/288")</f>
      </c>
      <c r="D383" s="8" t="s">
        <v>1807</v>
      </c>
      <c r="E383" s="8" t="s">
        <v>1808</v>
      </c>
      <c r="F383" s="8" t="s">
        <v>334</v>
      </c>
      <c r="G383" s="6" t="s">
        <v>40</v>
      </c>
      <c r="H383" s="6" t="s">
        <v>336</v>
      </c>
      <c r="I383" s="6" t="s">
        <v>259</v>
      </c>
      <c r="J383" s="6" t="s">
        <v>24</v>
      </c>
      <c r="K383" s="6"/>
      <c r="L383" s="7">
        <v>45583</v>
      </c>
      <c r="M383" s="6" t="s">
        <v>25</v>
      </c>
      <c r="N383" s="8" t="s">
        <v>1809</v>
      </c>
      <c r="O383" s="6">
        <f>HYPERLINK("https://docs.wto.org/imrd/directdoc.asp?DDFDocuments/t/G/TBTN24/ARE620.DOCX", "https://docs.wto.org/imrd/directdoc.asp?DDFDocuments/t/G/TBTN24/ARE620.DOCX")</f>
      </c>
      <c r="P383" s="6">
        <f>HYPERLINK("https://docs.wto.org/imrd/directdoc.asp?DDFDocuments/u/G/TBTN24/ARE620.DOCX", "https://docs.wto.org/imrd/directdoc.asp?DDFDocuments/u/G/TBTN24/ARE620.DOCX")</f>
      </c>
      <c r="Q383" s="6">
        <f>HYPERLINK("https://docs.wto.org/imrd/directdoc.asp?DDFDocuments/v/G/TBTN24/ARE620.DOCX", "https://docs.wto.org/imrd/directdoc.asp?DDFDocuments/v/G/TBTN24/ARE620.DOCX")</f>
      </c>
    </row>
    <row r="384">
      <c r="A384" s="6" t="s">
        <v>391</v>
      </c>
      <c r="B384" s="7">
        <v>45523</v>
      </c>
      <c r="C384" s="6">
        <f>HYPERLINK("https://eping.wto.org/en/Search?viewData= G/TBT/N/ARE/618, G/TBT/N/BHR/705, G/TBT/N/KWT/684, G/TBT/N/OMN/529, G/TBT/N/QAT/680, G/TBT/N/SAU/1348, G/TBT/N/YEM/286"," G/TBT/N/ARE/618, G/TBT/N/BHR/705, G/TBT/N/KWT/684, G/TBT/N/OMN/529, G/TBT/N/QAT/680, G/TBT/N/SAU/1348, G/TBT/N/YEM/286")</f>
      </c>
      <c r="D384" s="8" t="s">
        <v>1822</v>
      </c>
      <c r="E384" s="8" t="s">
        <v>1823</v>
      </c>
      <c r="F384" s="8" t="s">
        <v>334</v>
      </c>
      <c r="G384" s="6" t="s">
        <v>40</v>
      </c>
      <c r="H384" s="6" t="s">
        <v>336</v>
      </c>
      <c r="I384" s="6" t="s">
        <v>259</v>
      </c>
      <c r="J384" s="6" t="s">
        <v>24</v>
      </c>
      <c r="K384" s="6"/>
      <c r="L384" s="7">
        <v>45583</v>
      </c>
      <c r="M384" s="6" t="s">
        <v>25</v>
      </c>
      <c r="N384" s="8" t="s">
        <v>1824</v>
      </c>
      <c r="O384" s="6">
        <f>HYPERLINK("https://docs.wto.org/imrd/directdoc.asp?DDFDocuments/t/G/TBTN24/ARE618.DOCX", "https://docs.wto.org/imrd/directdoc.asp?DDFDocuments/t/G/TBTN24/ARE618.DOCX")</f>
      </c>
      <c r="P384" s="6">
        <f>HYPERLINK("https://docs.wto.org/imrd/directdoc.asp?DDFDocuments/u/G/TBTN24/ARE618.DOCX", "https://docs.wto.org/imrd/directdoc.asp?DDFDocuments/u/G/TBTN24/ARE618.DOCX")</f>
      </c>
      <c r="Q384" s="6">
        <f>HYPERLINK("https://docs.wto.org/imrd/directdoc.asp?DDFDocuments/v/G/TBTN24/ARE618.DOCX", "https://docs.wto.org/imrd/directdoc.asp?DDFDocuments/v/G/TBTN24/ARE618.DOCX")</f>
      </c>
    </row>
    <row r="385">
      <c r="A385" s="6" t="s">
        <v>372</v>
      </c>
      <c r="B385" s="7">
        <v>45523</v>
      </c>
      <c r="C385" s="6">
        <f>HYPERLINK("https://eping.wto.org/en/Search?viewData= G/TBT/N/ARE/376/Add.1, G/TBT/N/BHR/490/Add.1, G/TBT/N/KWT/372/Add.1, G/TBT/N/OMN/316/Add.1, G/TBT/N/QAT/488/Add.1, G/TBT/N/SAU/1009/Add.1, G/TBT/N/YEM/92/Add.1"," G/TBT/N/ARE/376/Add.1, G/TBT/N/BHR/490/Add.1, G/TBT/N/KWT/372/Add.1, G/TBT/N/OMN/316/Add.1, G/TBT/N/QAT/488/Add.1, G/TBT/N/SAU/1009/Add.1, G/TBT/N/YEM/92/Add.1")</f>
      </c>
      <c r="D385" s="8" t="s">
        <v>1798</v>
      </c>
      <c r="E385" s="8" t="s">
        <v>1799</v>
      </c>
      <c r="F385" s="8" t="s">
        <v>1800</v>
      </c>
      <c r="G385" s="6" t="s">
        <v>40</v>
      </c>
      <c r="H385" s="6" t="s">
        <v>1801</v>
      </c>
      <c r="I385" s="6" t="s">
        <v>147</v>
      </c>
      <c r="J385" s="6" t="s">
        <v>122</v>
      </c>
      <c r="K385" s="6"/>
      <c r="L385" s="7" t="s">
        <v>40</v>
      </c>
      <c r="M385" s="6" t="s">
        <v>76</v>
      </c>
      <c r="N385" s="8" t="s">
        <v>1802</v>
      </c>
      <c r="O385" s="6">
        <f>HYPERLINK("https://docs.wto.org/imrd/directdoc.asp?DDFDocuments/t/G/TBTN17/ARE376A1.DOCX", "https://docs.wto.org/imrd/directdoc.asp?DDFDocuments/t/G/TBTN17/ARE376A1.DOCX")</f>
      </c>
      <c r="P385" s="6">
        <f>HYPERLINK("https://docs.wto.org/imrd/directdoc.asp?DDFDocuments/u/G/TBTN17/ARE376A1.DOCX", "https://docs.wto.org/imrd/directdoc.asp?DDFDocuments/u/G/TBTN17/ARE376A1.DOCX")</f>
      </c>
      <c r="Q385" s="6">
        <f>HYPERLINK("https://docs.wto.org/imrd/directdoc.asp?DDFDocuments/v/G/TBTN17/ARE376A1.DOCX", "https://docs.wto.org/imrd/directdoc.asp?DDFDocuments/v/G/TBTN17/ARE376A1.DOCX")</f>
      </c>
    </row>
    <row r="386">
      <c r="A386" s="6" t="s">
        <v>331</v>
      </c>
      <c r="B386" s="7">
        <v>45523</v>
      </c>
      <c r="C386" s="6">
        <f>HYPERLINK("https://eping.wto.org/en/Search?viewData= G/TBT/N/ARE/376/Add.1, G/TBT/N/BHR/490/Add.1, G/TBT/N/KWT/372/Add.1, G/TBT/N/OMN/316/Add.1, G/TBT/N/QAT/488/Add.1, G/TBT/N/SAU/1009/Add.1, G/TBT/N/YEM/92/Add.1"," G/TBT/N/ARE/376/Add.1, G/TBT/N/BHR/490/Add.1, G/TBT/N/KWT/372/Add.1, G/TBT/N/OMN/316/Add.1, G/TBT/N/QAT/488/Add.1, G/TBT/N/SAU/1009/Add.1, G/TBT/N/YEM/92/Add.1")</f>
      </c>
      <c r="D386" s="8" t="s">
        <v>1798</v>
      </c>
      <c r="E386" s="8" t="s">
        <v>1799</v>
      </c>
      <c r="F386" s="8" t="s">
        <v>1800</v>
      </c>
      <c r="G386" s="6" t="s">
        <v>40</v>
      </c>
      <c r="H386" s="6" t="s">
        <v>1801</v>
      </c>
      <c r="I386" s="6" t="s">
        <v>147</v>
      </c>
      <c r="J386" s="6" t="s">
        <v>122</v>
      </c>
      <c r="K386" s="6"/>
      <c r="L386" s="7" t="s">
        <v>40</v>
      </c>
      <c r="M386" s="6" t="s">
        <v>76</v>
      </c>
      <c r="N386" s="8" t="s">
        <v>1802</v>
      </c>
      <c r="O386" s="6">
        <f>HYPERLINK("https://docs.wto.org/imrd/directdoc.asp?DDFDocuments/t/G/TBTN17/ARE376A1.DOCX", "https://docs.wto.org/imrd/directdoc.asp?DDFDocuments/t/G/TBTN17/ARE376A1.DOCX")</f>
      </c>
      <c r="P386" s="6">
        <f>HYPERLINK("https://docs.wto.org/imrd/directdoc.asp?DDFDocuments/u/G/TBTN17/ARE376A1.DOCX", "https://docs.wto.org/imrd/directdoc.asp?DDFDocuments/u/G/TBTN17/ARE376A1.DOCX")</f>
      </c>
      <c r="Q386" s="6">
        <f>HYPERLINK("https://docs.wto.org/imrd/directdoc.asp?DDFDocuments/v/G/TBTN17/ARE376A1.DOCX", "https://docs.wto.org/imrd/directdoc.asp?DDFDocuments/v/G/TBTN17/ARE376A1.DOCX")</f>
      </c>
    </row>
    <row r="387">
      <c r="A387" s="6" t="s">
        <v>160</v>
      </c>
      <c r="B387" s="7">
        <v>45523</v>
      </c>
      <c r="C387" s="6">
        <f>HYPERLINK("https://eping.wto.org/en/Search?viewData= G/TBT/N/USA/1698/Add.2/Corr.1"," G/TBT/N/USA/1698/Add.2/Corr.1")</f>
      </c>
      <c r="D387" s="8" t="s">
        <v>1825</v>
      </c>
      <c r="E387" s="8" t="s">
        <v>1826</v>
      </c>
      <c r="F387" s="8" t="s">
        <v>1827</v>
      </c>
      <c r="G387" s="6" t="s">
        <v>40</v>
      </c>
      <c r="H387" s="6" t="s">
        <v>1828</v>
      </c>
      <c r="I387" s="6" t="s">
        <v>1829</v>
      </c>
      <c r="J387" s="6" t="s">
        <v>40</v>
      </c>
      <c r="K387" s="6"/>
      <c r="L387" s="7" t="s">
        <v>40</v>
      </c>
      <c r="M387" s="6" t="s">
        <v>224</v>
      </c>
      <c r="N387" s="8" t="s">
        <v>1830</v>
      </c>
      <c r="O387" s="6">
        <f>HYPERLINK("https://docs.wto.org/imrd/directdoc.asp?DDFDocuments/t/G/TBTN21/USA1698A2C1.DOCX", "https://docs.wto.org/imrd/directdoc.asp?DDFDocuments/t/G/TBTN21/USA1698A2C1.DOCX")</f>
      </c>
      <c r="P387" s="6">
        <f>HYPERLINK("https://docs.wto.org/imrd/directdoc.asp?DDFDocuments/u/G/TBTN21/USA1698A2C1.DOCX", "https://docs.wto.org/imrd/directdoc.asp?DDFDocuments/u/G/TBTN21/USA1698A2C1.DOCX")</f>
      </c>
      <c r="Q387" s="6">
        <f>HYPERLINK("https://docs.wto.org/imrd/directdoc.asp?DDFDocuments/v/G/TBTN21/USA1698A2C1.DOCX", "https://docs.wto.org/imrd/directdoc.asp?DDFDocuments/v/G/TBTN21/USA1698A2C1.DOCX")</f>
      </c>
    </row>
    <row r="388">
      <c r="A388" s="6" t="s">
        <v>1636</v>
      </c>
      <c r="B388" s="7">
        <v>45523</v>
      </c>
      <c r="C388" s="6">
        <f>HYPERLINK("https://eping.wto.org/en/Search?viewData= G/SPS/N/ARM/55"," G/SPS/N/ARM/55")</f>
      </c>
      <c r="D388" s="8" t="s">
        <v>1831</v>
      </c>
      <c r="E388" s="8" t="s">
        <v>1832</v>
      </c>
      <c r="F388" s="8" t="s">
        <v>1833</v>
      </c>
      <c r="G388" s="6" t="s">
        <v>40</v>
      </c>
      <c r="H388" s="6" t="s">
        <v>40</v>
      </c>
      <c r="I388" s="6" t="s">
        <v>791</v>
      </c>
      <c r="J388" s="6" t="s">
        <v>792</v>
      </c>
      <c r="K388" s="6" t="s">
        <v>40</v>
      </c>
      <c r="L388" s="7">
        <v>45538</v>
      </c>
      <c r="M388" s="6" t="s">
        <v>25</v>
      </c>
      <c r="N388" s="8" t="s">
        <v>1834</v>
      </c>
      <c r="O388" s="6">
        <f>HYPERLINK("https://docs.wto.org/imrd/directdoc.asp?DDFDocuments/t/G/SPS/NARM55.DOCX", "https://docs.wto.org/imrd/directdoc.asp?DDFDocuments/t/G/SPS/NARM55.DOCX")</f>
      </c>
      <c r="P388" s="6">
        <f>HYPERLINK("https://docs.wto.org/imrd/directdoc.asp?DDFDocuments/u/G/SPS/NARM55.DOCX", "https://docs.wto.org/imrd/directdoc.asp?DDFDocuments/u/G/SPS/NARM55.DOCX")</f>
      </c>
      <c r="Q388" s="6">
        <f>HYPERLINK("https://docs.wto.org/imrd/directdoc.asp?DDFDocuments/v/G/SPS/NARM55.DOCX", "https://docs.wto.org/imrd/directdoc.asp?DDFDocuments/v/G/SPS/NARM55.DOCX")</f>
      </c>
    </row>
    <row r="389">
      <c r="A389" s="6" t="s">
        <v>372</v>
      </c>
      <c r="B389" s="7">
        <v>45523</v>
      </c>
      <c r="C389" s="6">
        <f>HYPERLINK("https://eping.wto.org/en/Search?viewData= G/TBT/N/ARE/620, G/TBT/N/BHR/707, G/TBT/N/KWT/686, G/TBT/N/OMN/531, G/TBT/N/QAT/682, G/TBT/N/SAU/1350, G/TBT/N/YEM/288"," G/TBT/N/ARE/620, G/TBT/N/BHR/707, G/TBT/N/KWT/686, G/TBT/N/OMN/531, G/TBT/N/QAT/682, G/TBT/N/SAU/1350, G/TBT/N/YEM/288")</f>
      </c>
      <c r="D389" s="8" t="s">
        <v>1807</v>
      </c>
      <c r="E389" s="8" t="s">
        <v>1808</v>
      </c>
      <c r="F389" s="8" t="s">
        <v>334</v>
      </c>
      <c r="G389" s="6" t="s">
        <v>40</v>
      </c>
      <c r="H389" s="6" t="s">
        <v>336</v>
      </c>
      <c r="I389" s="6" t="s">
        <v>259</v>
      </c>
      <c r="J389" s="6" t="s">
        <v>24</v>
      </c>
      <c r="K389" s="6"/>
      <c r="L389" s="7">
        <v>45583</v>
      </c>
      <c r="M389" s="6" t="s">
        <v>25</v>
      </c>
      <c r="N389" s="8" t="s">
        <v>1809</v>
      </c>
      <c r="O389" s="6">
        <f>HYPERLINK("https://docs.wto.org/imrd/directdoc.asp?DDFDocuments/t/G/TBTN24/ARE620.DOCX", "https://docs.wto.org/imrd/directdoc.asp?DDFDocuments/t/G/TBTN24/ARE620.DOCX")</f>
      </c>
      <c r="P389" s="6">
        <f>HYPERLINK("https://docs.wto.org/imrd/directdoc.asp?DDFDocuments/u/G/TBTN24/ARE620.DOCX", "https://docs.wto.org/imrd/directdoc.asp?DDFDocuments/u/G/TBTN24/ARE620.DOCX")</f>
      </c>
      <c r="Q389" s="6">
        <f>HYPERLINK("https://docs.wto.org/imrd/directdoc.asp?DDFDocuments/v/G/TBTN24/ARE620.DOCX", "https://docs.wto.org/imrd/directdoc.asp?DDFDocuments/v/G/TBTN24/ARE620.DOCX")</f>
      </c>
    </row>
    <row r="390">
      <c r="A390" s="6" t="s">
        <v>393</v>
      </c>
      <c r="B390" s="7">
        <v>45523</v>
      </c>
      <c r="C390" s="6">
        <f>HYPERLINK("https://eping.wto.org/en/Search?viewData= G/TBT/N/ARE/620, G/TBT/N/BHR/707, G/TBT/N/KWT/686, G/TBT/N/OMN/531, G/TBT/N/QAT/682, G/TBT/N/SAU/1350, G/TBT/N/YEM/288"," G/TBT/N/ARE/620, G/TBT/N/BHR/707, G/TBT/N/KWT/686, G/TBT/N/OMN/531, G/TBT/N/QAT/682, G/TBT/N/SAU/1350, G/TBT/N/YEM/288")</f>
      </c>
      <c r="D390" s="8" t="s">
        <v>1807</v>
      </c>
      <c r="E390" s="8" t="s">
        <v>1808</v>
      </c>
      <c r="F390" s="8" t="s">
        <v>334</v>
      </c>
      <c r="G390" s="6" t="s">
        <v>40</v>
      </c>
      <c r="H390" s="6" t="s">
        <v>336</v>
      </c>
      <c r="I390" s="6" t="s">
        <v>259</v>
      </c>
      <c r="J390" s="6" t="s">
        <v>24</v>
      </c>
      <c r="K390" s="6"/>
      <c r="L390" s="7">
        <v>45583</v>
      </c>
      <c r="M390" s="6" t="s">
        <v>25</v>
      </c>
      <c r="N390" s="8" t="s">
        <v>1809</v>
      </c>
      <c r="O390" s="6">
        <f>HYPERLINK("https://docs.wto.org/imrd/directdoc.asp?DDFDocuments/t/G/TBTN24/ARE620.DOCX", "https://docs.wto.org/imrd/directdoc.asp?DDFDocuments/t/G/TBTN24/ARE620.DOCX")</f>
      </c>
      <c r="P390" s="6">
        <f>HYPERLINK("https://docs.wto.org/imrd/directdoc.asp?DDFDocuments/u/G/TBTN24/ARE620.DOCX", "https://docs.wto.org/imrd/directdoc.asp?DDFDocuments/u/G/TBTN24/ARE620.DOCX")</f>
      </c>
      <c r="Q390" s="6">
        <f>HYPERLINK("https://docs.wto.org/imrd/directdoc.asp?DDFDocuments/v/G/TBTN24/ARE620.DOCX", "https://docs.wto.org/imrd/directdoc.asp?DDFDocuments/v/G/TBTN24/ARE620.DOCX")</f>
      </c>
    </row>
    <row r="391">
      <c r="A391" s="6" t="s">
        <v>393</v>
      </c>
      <c r="B391" s="7">
        <v>45523</v>
      </c>
      <c r="C391" s="6">
        <f>HYPERLINK("https://eping.wto.org/en/Search?viewData= G/TBT/N/ARE/618, G/TBT/N/BHR/705, G/TBT/N/KWT/684, G/TBT/N/OMN/529, G/TBT/N/QAT/680, G/TBT/N/SAU/1348, G/TBT/N/YEM/286"," G/TBT/N/ARE/618, G/TBT/N/BHR/705, G/TBT/N/KWT/684, G/TBT/N/OMN/529, G/TBT/N/QAT/680, G/TBT/N/SAU/1348, G/TBT/N/YEM/286")</f>
      </c>
      <c r="D391" s="8" t="s">
        <v>1822</v>
      </c>
      <c r="E391" s="8" t="s">
        <v>1823</v>
      </c>
      <c r="F391" s="8" t="s">
        <v>334</v>
      </c>
      <c r="G391" s="6" t="s">
        <v>40</v>
      </c>
      <c r="H391" s="6" t="s">
        <v>336</v>
      </c>
      <c r="I391" s="6" t="s">
        <v>259</v>
      </c>
      <c r="J391" s="6" t="s">
        <v>24</v>
      </c>
      <c r="K391" s="6"/>
      <c r="L391" s="7">
        <v>45583</v>
      </c>
      <c r="M391" s="6" t="s">
        <v>25</v>
      </c>
      <c r="N391" s="8" t="s">
        <v>1824</v>
      </c>
      <c r="O391" s="6">
        <f>HYPERLINK("https://docs.wto.org/imrd/directdoc.asp?DDFDocuments/t/G/TBTN24/ARE618.DOCX", "https://docs.wto.org/imrd/directdoc.asp?DDFDocuments/t/G/TBTN24/ARE618.DOCX")</f>
      </c>
      <c r="P391" s="6">
        <f>HYPERLINK("https://docs.wto.org/imrd/directdoc.asp?DDFDocuments/u/G/TBTN24/ARE618.DOCX", "https://docs.wto.org/imrd/directdoc.asp?DDFDocuments/u/G/TBTN24/ARE618.DOCX")</f>
      </c>
      <c r="Q391" s="6">
        <f>HYPERLINK("https://docs.wto.org/imrd/directdoc.asp?DDFDocuments/v/G/TBTN24/ARE618.DOCX", "https://docs.wto.org/imrd/directdoc.asp?DDFDocuments/v/G/TBTN24/ARE618.DOCX")</f>
      </c>
    </row>
    <row r="392">
      <c r="A392" s="6" t="s">
        <v>391</v>
      </c>
      <c r="B392" s="7">
        <v>45523</v>
      </c>
      <c r="C392" s="6">
        <f>HYPERLINK("https://eping.wto.org/en/Search?viewData= G/TBT/N/ARE/376/Add.1, G/TBT/N/BHR/490/Add.1, G/TBT/N/KWT/372/Add.1, G/TBT/N/OMN/316/Add.1, G/TBT/N/QAT/488/Add.1, G/TBT/N/SAU/1009/Add.1, G/TBT/N/YEM/92/Add.1"," G/TBT/N/ARE/376/Add.1, G/TBT/N/BHR/490/Add.1, G/TBT/N/KWT/372/Add.1, G/TBT/N/OMN/316/Add.1, G/TBT/N/QAT/488/Add.1, G/TBT/N/SAU/1009/Add.1, G/TBT/N/YEM/92/Add.1")</f>
      </c>
      <c r="D392" s="8" t="s">
        <v>1798</v>
      </c>
      <c r="E392" s="8" t="s">
        <v>1799</v>
      </c>
      <c r="F392" s="8" t="s">
        <v>1800</v>
      </c>
      <c r="G392" s="6" t="s">
        <v>40</v>
      </c>
      <c r="H392" s="6" t="s">
        <v>1801</v>
      </c>
      <c r="I392" s="6" t="s">
        <v>147</v>
      </c>
      <c r="J392" s="6" t="s">
        <v>122</v>
      </c>
      <c r="K392" s="6"/>
      <c r="L392" s="7" t="s">
        <v>40</v>
      </c>
      <c r="M392" s="6" t="s">
        <v>76</v>
      </c>
      <c r="N392" s="8" t="s">
        <v>1802</v>
      </c>
      <c r="O392" s="6">
        <f>HYPERLINK("https://docs.wto.org/imrd/directdoc.asp?DDFDocuments/t/G/TBTN17/ARE376A1.DOCX", "https://docs.wto.org/imrd/directdoc.asp?DDFDocuments/t/G/TBTN17/ARE376A1.DOCX")</f>
      </c>
      <c r="P392" s="6">
        <f>HYPERLINK("https://docs.wto.org/imrd/directdoc.asp?DDFDocuments/u/G/TBTN17/ARE376A1.DOCX", "https://docs.wto.org/imrd/directdoc.asp?DDFDocuments/u/G/TBTN17/ARE376A1.DOCX")</f>
      </c>
      <c r="Q392" s="6">
        <f>HYPERLINK("https://docs.wto.org/imrd/directdoc.asp?DDFDocuments/v/G/TBTN17/ARE376A1.DOCX", "https://docs.wto.org/imrd/directdoc.asp?DDFDocuments/v/G/TBTN17/ARE376A1.DOCX")</f>
      </c>
    </row>
    <row r="393">
      <c r="A393" s="6" t="s">
        <v>1636</v>
      </c>
      <c r="B393" s="7">
        <v>45523</v>
      </c>
      <c r="C393" s="6">
        <f>HYPERLINK("https://eping.wto.org/en/Search?viewData= G/SPS/N/ARM/56"," G/SPS/N/ARM/56")</f>
      </c>
      <c r="D393" s="8" t="s">
        <v>1699</v>
      </c>
      <c r="E393" s="8" t="s">
        <v>1835</v>
      </c>
      <c r="F393" s="8" t="s">
        <v>1701</v>
      </c>
      <c r="G393" s="6" t="s">
        <v>40</v>
      </c>
      <c r="H393" s="6" t="s">
        <v>40</v>
      </c>
      <c r="I393" s="6" t="s">
        <v>353</v>
      </c>
      <c r="J393" s="6" t="s">
        <v>915</v>
      </c>
      <c r="K393" s="6" t="s">
        <v>40</v>
      </c>
      <c r="L393" s="7">
        <v>45583</v>
      </c>
      <c r="M393" s="6" t="s">
        <v>25</v>
      </c>
      <c r="N393" s="8" t="s">
        <v>1836</v>
      </c>
      <c r="O393" s="6">
        <f>HYPERLINK("https://docs.wto.org/imrd/directdoc.asp?DDFDocuments/t/G/SPS/NARM56.DOCX", "https://docs.wto.org/imrd/directdoc.asp?DDFDocuments/t/G/SPS/NARM56.DOCX")</f>
      </c>
      <c r="P393" s="6">
        <f>HYPERLINK("https://docs.wto.org/imrd/directdoc.asp?DDFDocuments/u/G/SPS/NARM56.DOCX", "https://docs.wto.org/imrd/directdoc.asp?DDFDocuments/u/G/SPS/NARM56.DOCX")</f>
      </c>
      <c r="Q393" s="6">
        <f>HYPERLINK("https://docs.wto.org/imrd/directdoc.asp?DDFDocuments/v/G/SPS/NARM56.DOCX", "https://docs.wto.org/imrd/directdoc.asp?DDFDocuments/v/G/SPS/NARM56.DOCX")</f>
      </c>
    </row>
    <row r="394">
      <c r="A394" s="6" t="s">
        <v>343</v>
      </c>
      <c r="B394" s="7">
        <v>45523</v>
      </c>
      <c r="C394" s="6">
        <f>HYPERLINK("https://eping.wto.org/en/Search?viewData= G/TBT/N/ARE/619, G/TBT/N/BHR/706, G/TBT/N/KWT/685, G/TBT/N/OMN/530, G/TBT/N/QAT/681, G/TBT/N/SAU/1349, G/TBT/N/YEM/287"," G/TBT/N/ARE/619, G/TBT/N/BHR/706, G/TBT/N/KWT/685, G/TBT/N/OMN/530, G/TBT/N/QAT/681, G/TBT/N/SAU/1349, G/TBT/N/YEM/287")</f>
      </c>
      <c r="D394" s="8" t="s">
        <v>1803</v>
      </c>
      <c r="E394" s="8" t="s">
        <v>1804</v>
      </c>
      <c r="F394" s="8" t="s">
        <v>334</v>
      </c>
      <c r="G394" s="6" t="s">
        <v>40</v>
      </c>
      <c r="H394" s="6" t="s">
        <v>336</v>
      </c>
      <c r="I394" s="6" t="s">
        <v>259</v>
      </c>
      <c r="J394" s="6" t="s">
        <v>1805</v>
      </c>
      <c r="K394" s="6"/>
      <c r="L394" s="7">
        <v>45583</v>
      </c>
      <c r="M394" s="6" t="s">
        <v>25</v>
      </c>
      <c r="N394" s="8" t="s">
        <v>1806</v>
      </c>
      <c r="O394" s="6">
        <f>HYPERLINK("https://docs.wto.org/imrd/directdoc.asp?DDFDocuments/t/G/TBTN24/ARE619.DOCX", "https://docs.wto.org/imrd/directdoc.asp?DDFDocuments/t/G/TBTN24/ARE619.DOCX")</f>
      </c>
      <c r="P394" s="6">
        <f>HYPERLINK("https://docs.wto.org/imrd/directdoc.asp?DDFDocuments/u/G/TBTN24/ARE619.DOCX", "https://docs.wto.org/imrd/directdoc.asp?DDFDocuments/u/G/TBTN24/ARE619.DOCX")</f>
      </c>
      <c r="Q394" s="6">
        <f>HYPERLINK("https://docs.wto.org/imrd/directdoc.asp?DDFDocuments/v/G/TBTN24/ARE619.DOCX", "https://docs.wto.org/imrd/directdoc.asp?DDFDocuments/v/G/TBTN24/ARE619.DOCX")</f>
      </c>
    </row>
    <row r="395">
      <c r="A395" s="6" t="s">
        <v>331</v>
      </c>
      <c r="B395" s="7">
        <v>45523</v>
      </c>
      <c r="C395" s="6">
        <f>HYPERLINK("https://eping.wto.org/en/Search?viewData= G/TBT/N/ARE/619, G/TBT/N/BHR/706, G/TBT/N/KWT/685, G/TBT/N/OMN/530, G/TBT/N/QAT/681, G/TBT/N/SAU/1349, G/TBT/N/YEM/287"," G/TBT/N/ARE/619, G/TBT/N/BHR/706, G/TBT/N/KWT/685, G/TBT/N/OMN/530, G/TBT/N/QAT/681, G/TBT/N/SAU/1349, G/TBT/N/YEM/287")</f>
      </c>
      <c r="D395" s="8" t="s">
        <v>1803</v>
      </c>
      <c r="E395" s="8" t="s">
        <v>1804</v>
      </c>
      <c r="F395" s="8" t="s">
        <v>334</v>
      </c>
      <c r="G395" s="6" t="s">
        <v>40</v>
      </c>
      <c r="H395" s="6" t="s">
        <v>336</v>
      </c>
      <c r="I395" s="6" t="s">
        <v>259</v>
      </c>
      <c r="J395" s="6" t="s">
        <v>1805</v>
      </c>
      <c r="K395" s="6"/>
      <c r="L395" s="7">
        <v>45583</v>
      </c>
      <c r="M395" s="6" t="s">
        <v>25</v>
      </c>
      <c r="N395" s="8" t="s">
        <v>1806</v>
      </c>
      <c r="O395" s="6">
        <f>HYPERLINK("https://docs.wto.org/imrd/directdoc.asp?DDFDocuments/t/G/TBTN24/ARE619.DOCX", "https://docs.wto.org/imrd/directdoc.asp?DDFDocuments/t/G/TBTN24/ARE619.DOCX")</f>
      </c>
      <c r="P395" s="6">
        <f>HYPERLINK("https://docs.wto.org/imrd/directdoc.asp?DDFDocuments/u/G/TBTN24/ARE619.DOCX", "https://docs.wto.org/imrd/directdoc.asp?DDFDocuments/u/G/TBTN24/ARE619.DOCX")</f>
      </c>
      <c r="Q395" s="6">
        <f>HYPERLINK("https://docs.wto.org/imrd/directdoc.asp?DDFDocuments/v/G/TBTN24/ARE619.DOCX", "https://docs.wto.org/imrd/directdoc.asp?DDFDocuments/v/G/TBTN24/ARE619.DOCX")</f>
      </c>
    </row>
    <row r="396">
      <c r="A396" s="6" t="s">
        <v>393</v>
      </c>
      <c r="B396" s="7">
        <v>45523</v>
      </c>
      <c r="C396" s="6">
        <f>HYPERLINK("https://eping.wto.org/en/Search?viewData= G/TBT/N/ARE/619, G/TBT/N/BHR/706, G/TBT/N/KWT/685, G/TBT/N/OMN/530, G/TBT/N/QAT/681, G/TBT/N/SAU/1349, G/TBT/N/YEM/287"," G/TBT/N/ARE/619, G/TBT/N/BHR/706, G/TBT/N/KWT/685, G/TBT/N/OMN/530, G/TBT/N/QAT/681, G/TBT/N/SAU/1349, G/TBT/N/YEM/287")</f>
      </c>
      <c r="D396" s="8" t="s">
        <v>1803</v>
      </c>
      <c r="E396" s="8" t="s">
        <v>1804</v>
      </c>
      <c r="F396" s="8" t="s">
        <v>334</v>
      </c>
      <c r="G396" s="6" t="s">
        <v>40</v>
      </c>
      <c r="H396" s="6" t="s">
        <v>336</v>
      </c>
      <c r="I396" s="6" t="s">
        <v>259</v>
      </c>
      <c r="J396" s="6" t="s">
        <v>1805</v>
      </c>
      <c r="K396" s="6"/>
      <c r="L396" s="7">
        <v>45583</v>
      </c>
      <c r="M396" s="6" t="s">
        <v>25</v>
      </c>
      <c r="N396" s="8" t="s">
        <v>1806</v>
      </c>
      <c r="O396" s="6">
        <f>HYPERLINK("https://docs.wto.org/imrd/directdoc.asp?DDFDocuments/t/G/TBTN24/ARE619.DOCX", "https://docs.wto.org/imrd/directdoc.asp?DDFDocuments/t/G/TBTN24/ARE619.DOCX")</f>
      </c>
      <c r="P396" s="6">
        <f>HYPERLINK("https://docs.wto.org/imrd/directdoc.asp?DDFDocuments/u/G/TBTN24/ARE619.DOCX", "https://docs.wto.org/imrd/directdoc.asp?DDFDocuments/u/G/TBTN24/ARE619.DOCX")</f>
      </c>
      <c r="Q396" s="6">
        <f>HYPERLINK("https://docs.wto.org/imrd/directdoc.asp?DDFDocuments/v/G/TBTN24/ARE619.DOCX", "https://docs.wto.org/imrd/directdoc.asp?DDFDocuments/v/G/TBTN24/ARE619.DOCX")</f>
      </c>
    </row>
    <row r="397">
      <c r="A397" s="6" t="s">
        <v>372</v>
      </c>
      <c r="B397" s="7">
        <v>45523</v>
      </c>
      <c r="C397" s="6">
        <f>HYPERLINK("https://eping.wto.org/en/Search?viewData= G/TBT/N/ARE/618, G/TBT/N/BHR/705, G/TBT/N/KWT/684, G/TBT/N/OMN/529, G/TBT/N/QAT/680, G/TBT/N/SAU/1348, G/TBT/N/YEM/286"," G/TBT/N/ARE/618, G/TBT/N/BHR/705, G/TBT/N/KWT/684, G/TBT/N/OMN/529, G/TBT/N/QAT/680, G/TBT/N/SAU/1348, G/TBT/N/YEM/286")</f>
      </c>
      <c r="D397" s="8" t="s">
        <v>1822</v>
      </c>
      <c r="E397" s="8" t="s">
        <v>1823</v>
      </c>
      <c r="F397" s="8" t="s">
        <v>334</v>
      </c>
      <c r="G397" s="6" t="s">
        <v>40</v>
      </c>
      <c r="H397" s="6" t="s">
        <v>336</v>
      </c>
      <c r="I397" s="6" t="s">
        <v>259</v>
      </c>
      <c r="J397" s="6" t="s">
        <v>24</v>
      </c>
      <c r="K397" s="6"/>
      <c r="L397" s="7">
        <v>45583</v>
      </c>
      <c r="M397" s="6" t="s">
        <v>25</v>
      </c>
      <c r="N397" s="8" t="s">
        <v>1824</v>
      </c>
      <c r="O397" s="6">
        <f>HYPERLINK("https://docs.wto.org/imrd/directdoc.asp?DDFDocuments/t/G/TBTN24/ARE618.DOCX", "https://docs.wto.org/imrd/directdoc.asp?DDFDocuments/t/G/TBTN24/ARE618.DOCX")</f>
      </c>
      <c r="P397" s="6">
        <f>HYPERLINK("https://docs.wto.org/imrd/directdoc.asp?DDFDocuments/u/G/TBTN24/ARE618.DOCX", "https://docs.wto.org/imrd/directdoc.asp?DDFDocuments/u/G/TBTN24/ARE618.DOCX")</f>
      </c>
      <c r="Q397" s="6">
        <f>HYPERLINK("https://docs.wto.org/imrd/directdoc.asp?DDFDocuments/v/G/TBTN24/ARE618.DOCX", "https://docs.wto.org/imrd/directdoc.asp?DDFDocuments/v/G/TBTN24/ARE618.DOCX")</f>
      </c>
    </row>
    <row r="398">
      <c r="A398" s="6" t="s">
        <v>393</v>
      </c>
      <c r="B398" s="7">
        <v>45523</v>
      </c>
      <c r="C398" s="6">
        <f>HYPERLINK("https://eping.wto.org/en/Search?viewData= G/TBT/N/ARE/376/Add.1, G/TBT/N/BHR/490/Add.1, G/TBT/N/KWT/372/Add.1, G/TBT/N/OMN/316/Add.1, G/TBT/N/QAT/488/Add.1, G/TBT/N/SAU/1009/Add.1, G/TBT/N/YEM/92/Add.1"," G/TBT/N/ARE/376/Add.1, G/TBT/N/BHR/490/Add.1, G/TBT/N/KWT/372/Add.1, G/TBT/N/OMN/316/Add.1, G/TBT/N/QAT/488/Add.1, G/TBT/N/SAU/1009/Add.1, G/TBT/N/YEM/92/Add.1")</f>
      </c>
      <c r="D398" s="8" t="s">
        <v>1798</v>
      </c>
      <c r="E398" s="8" t="s">
        <v>1799</v>
      </c>
      <c r="F398" s="8" t="s">
        <v>1800</v>
      </c>
      <c r="G398" s="6" t="s">
        <v>40</v>
      </c>
      <c r="H398" s="6" t="s">
        <v>1801</v>
      </c>
      <c r="I398" s="6" t="s">
        <v>147</v>
      </c>
      <c r="J398" s="6" t="s">
        <v>122</v>
      </c>
      <c r="K398" s="6"/>
      <c r="L398" s="7" t="s">
        <v>40</v>
      </c>
      <c r="M398" s="6" t="s">
        <v>76</v>
      </c>
      <c r="N398" s="8" t="s">
        <v>1802</v>
      </c>
      <c r="O398" s="6">
        <f>HYPERLINK("https://docs.wto.org/imrd/directdoc.asp?DDFDocuments/t/G/TBTN17/ARE376A1.DOCX", "https://docs.wto.org/imrd/directdoc.asp?DDFDocuments/t/G/TBTN17/ARE376A1.DOCX")</f>
      </c>
      <c r="P398" s="6">
        <f>HYPERLINK("https://docs.wto.org/imrd/directdoc.asp?DDFDocuments/u/G/TBTN17/ARE376A1.DOCX", "https://docs.wto.org/imrd/directdoc.asp?DDFDocuments/u/G/TBTN17/ARE376A1.DOCX")</f>
      </c>
      <c r="Q398" s="6">
        <f>HYPERLINK("https://docs.wto.org/imrd/directdoc.asp?DDFDocuments/v/G/TBTN17/ARE376A1.DOCX", "https://docs.wto.org/imrd/directdoc.asp?DDFDocuments/v/G/TBTN17/ARE376A1.DOCX")</f>
      </c>
    </row>
    <row r="399">
      <c r="A399" s="6" t="s">
        <v>99</v>
      </c>
      <c r="B399" s="7">
        <v>45523</v>
      </c>
      <c r="C399" s="6">
        <f>HYPERLINK("https://eping.wto.org/en/Search?viewData= G/TBT/N/AUS/173"," G/TBT/N/AUS/173")</f>
      </c>
      <c r="D399" s="8" t="s">
        <v>1793</v>
      </c>
      <c r="E399" s="8" t="s">
        <v>1837</v>
      </c>
      <c r="F399" s="8" t="s">
        <v>1838</v>
      </c>
      <c r="G399" s="6" t="s">
        <v>40</v>
      </c>
      <c r="H399" s="6" t="s">
        <v>1796</v>
      </c>
      <c r="I399" s="6" t="s">
        <v>142</v>
      </c>
      <c r="J399" s="6" t="s">
        <v>24</v>
      </c>
      <c r="K399" s="6"/>
      <c r="L399" s="7">
        <v>45583</v>
      </c>
      <c r="M399" s="6" t="s">
        <v>25</v>
      </c>
      <c r="N399" s="8" t="s">
        <v>1839</v>
      </c>
      <c r="O399" s="6">
        <f>HYPERLINK("https://docs.wto.org/imrd/directdoc.asp?DDFDocuments/t/G/TBTN24/AUS173.DOCX", "https://docs.wto.org/imrd/directdoc.asp?DDFDocuments/t/G/TBTN24/AUS173.DOCX")</f>
      </c>
      <c r="P399" s="6">
        <f>HYPERLINK("https://docs.wto.org/imrd/directdoc.asp?DDFDocuments/u/G/TBTN24/AUS173.DOCX", "https://docs.wto.org/imrd/directdoc.asp?DDFDocuments/u/G/TBTN24/AUS173.DOCX")</f>
      </c>
      <c r="Q399" s="6">
        <f>HYPERLINK("https://docs.wto.org/imrd/directdoc.asp?DDFDocuments/v/G/TBTN24/AUS173.DOCX", "https://docs.wto.org/imrd/directdoc.asp?DDFDocuments/v/G/TBTN24/AUS173.DOCX")</f>
      </c>
    </row>
    <row r="400">
      <c r="A400" s="6" t="s">
        <v>392</v>
      </c>
      <c r="B400" s="7">
        <v>45523</v>
      </c>
      <c r="C400" s="6">
        <f>HYPERLINK("https://eping.wto.org/en/Search?viewData= G/TBT/N/ARE/618, G/TBT/N/BHR/705, G/TBT/N/KWT/684, G/TBT/N/OMN/529, G/TBT/N/QAT/680, G/TBT/N/SAU/1348, G/TBT/N/YEM/286"," G/TBT/N/ARE/618, G/TBT/N/BHR/705, G/TBT/N/KWT/684, G/TBT/N/OMN/529, G/TBT/N/QAT/680, G/TBT/N/SAU/1348, G/TBT/N/YEM/286")</f>
      </c>
      <c r="D400" s="8" t="s">
        <v>1822</v>
      </c>
      <c r="E400" s="8" t="s">
        <v>1823</v>
      </c>
      <c r="F400" s="8" t="s">
        <v>334</v>
      </c>
      <c r="G400" s="6" t="s">
        <v>40</v>
      </c>
      <c r="H400" s="6" t="s">
        <v>336</v>
      </c>
      <c r="I400" s="6" t="s">
        <v>259</v>
      </c>
      <c r="J400" s="6" t="s">
        <v>24</v>
      </c>
      <c r="K400" s="6"/>
      <c r="L400" s="7">
        <v>45583</v>
      </c>
      <c r="M400" s="6" t="s">
        <v>25</v>
      </c>
      <c r="N400" s="8" t="s">
        <v>1824</v>
      </c>
      <c r="O400" s="6">
        <f>HYPERLINK("https://docs.wto.org/imrd/directdoc.asp?DDFDocuments/t/G/TBTN24/ARE618.DOCX", "https://docs.wto.org/imrd/directdoc.asp?DDFDocuments/t/G/TBTN24/ARE618.DOCX")</f>
      </c>
      <c r="P400" s="6">
        <f>HYPERLINK("https://docs.wto.org/imrd/directdoc.asp?DDFDocuments/u/G/TBTN24/ARE618.DOCX", "https://docs.wto.org/imrd/directdoc.asp?DDFDocuments/u/G/TBTN24/ARE618.DOCX")</f>
      </c>
      <c r="Q400" s="6">
        <f>HYPERLINK("https://docs.wto.org/imrd/directdoc.asp?DDFDocuments/v/G/TBTN24/ARE618.DOCX", "https://docs.wto.org/imrd/directdoc.asp?DDFDocuments/v/G/TBTN24/ARE618.DOCX")</f>
      </c>
    </row>
    <row r="401">
      <c r="A401" s="6" t="s">
        <v>115</v>
      </c>
      <c r="B401" s="7">
        <v>45523</v>
      </c>
      <c r="C401" s="6">
        <f>HYPERLINK("https://eping.wto.org/en/Search?viewData= G/TBT/N/BRA/1561"," G/TBT/N/BRA/1561")</f>
      </c>
      <c r="D401" s="8" t="s">
        <v>1840</v>
      </c>
      <c r="E401" s="8" t="s">
        <v>1841</v>
      </c>
      <c r="F401" s="8" t="s">
        <v>890</v>
      </c>
      <c r="G401" s="6" t="s">
        <v>1842</v>
      </c>
      <c r="H401" s="6" t="s">
        <v>109</v>
      </c>
      <c r="I401" s="6" t="s">
        <v>142</v>
      </c>
      <c r="J401" s="6" t="s">
        <v>40</v>
      </c>
      <c r="K401" s="6"/>
      <c r="L401" s="7">
        <v>45535</v>
      </c>
      <c r="M401" s="6" t="s">
        <v>25</v>
      </c>
      <c r="N401" s="8" t="s">
        <v>1843</v>
      </c>
      <c r="O401" s="6">
        <f>HYPERLINK("https://docs.wto.org/imrd/directdoc.asp?DDFDocuments/t/G/TBTN24/BRA1561.DOCX", "https://docs.wto.org/imrd/directdoc.asp?DDFDocuments/t/G/TBTN24/BRA1561.DOCX")</f>
      </c>
      <c r="P401" s="6">
        <f>HYPERLINK("https://docs.wto.org/imrd/directdoc.asp?DDFDocuments/u/G/TBTN24/BRA1561.DOCX", "https://docs.wto.org/imrd/directdoc.asp?DDFDocuments/u/G/TBTN24/BRA1561.DOCX")</f>
      </c>
      <c r="Q401" s="6">
        <f>HYPERLINK("https://docs.wto.org/imrd/directdoc.asp?DDFDocuments/v/G/TBTN24/BRA1561.DOCX", "https://docs.wto.org/imrd/directdoc.asp?DDFDocuments/v/G/TBTN24/BRA1561.DOCX")</f>
      </c>
    </row>
    <row r="402">
      <c r="A402" s="6" t="s">
        <v>412</v>
      </c>
      <c r="B402" s="7">
        <v>45523</v>
      </c>
      <c r="C402" s="6">
        <f>HYPERLINK("https://eping.wto.org/en/Search?viewData= G/TBT/N/COL/20/Add.15"," G/TBT/N/COL/20/Add.15")</f>
      </c>
      <c r="D402" s="8" t="s">
        <v>1844</v>
      </c>
      <c r="E402" s="8" t="s">
        <v>1845</v>
      </c>
      <c r="F402" s="8" t="s">
        <v>1846</v>
      </c>
      <c r="G402" s="6" t="s">
        <v>40</v>
      </c>
      <c r="H402" s="6" t="s">
        <v>1847</v>
      </c>
      <c r="I402" s="6" t="s">
        <v>40</v>
      </c>
      <c r="J402" s="6" t="s">
        <v>40</v>
      </c>
      <c r="K402" s="6"/>
      <c r="L402" s="7" t="s">
        <v>40</v>
      </c>
      <c r="M402" s="6" t="s">
        <v>76</v>
      </c>
      <c r="N402" s="8" t="s">
        <v>1848</v>
      </c>
      <c r="O402" s="6">
        <f>HYPERLINK("https://docs.wto.org/imrd/directdoc.asp?DDFDocuments/t/G/TBTN02/COL20A15.DOCX", "https://docs.wto.org/imrd/directdoc.asp?DDFDocuments/t/G/TBTN02/COL20A15.DOCX")</f>
      </c>
      <c r="P402" s="6">
        <f>HYPERLINK("https://docs.wto.org/imrd/directdoc.asp?DDFDocuments/u/G/TBTN02/COL20A15.DOCX", "https://docs.wto.org/imrd/directdoc.asp?DDFDocuments/u/G/TBTN02/COL20A15.DOCX")</f>
      </c>
      <c r="Q402" s="6">
        <f>HYPERLINK("https://docs.wto.org/imrd/directdoc.asp?DDFDocuments/v/G/TBTN02/COL20A15.DOCX", "https://docs.wto.org/imrd/directdoc.asp?DDFDocuments/v/G/TBTN02/COL20A15.DOCX")</f>
      </c>
    </row>
    <row r="403">
      <c r="A403" s="6" t="s">
        <v>412</v>
      </c>
      <c r="B403" s="7">
        <v>45523</v>
      </c>
      <c r="C403" s="6">
        <f>HYPERLINK("https://eping.wto.org/en/Search?viewData= G/TBT/N/COL/250/Add.3"," G/TBT/N/COL/250/Add.3")</f>
      </c>
      <c r="D403" s="8" t="s">
        <v>1849</v>
      </c>
      <c r="E403" s="8" t="s">
        <v>1850</v>
      </c>
      <c r="F403" s="8" t="s">
        <v>1851</v>
      </c>
      <c r="G403" s="6" t="s">
        <v>1852</v>
      </c>
      <c r="H403" s="6" t="s">
        <v>1853</v>
      </c>
      <c r="I403" s="6" t="s">
        <v>1815</v>
      </c>
      <c r="J403" s="6" t="s">
        <v>40</v>
      </c>
      <c r="K403" s="6"/>
      <c r="L403" s="7" t="s">
        <v>40</v>
      </c>
      <c r="M403" s="6" t="s">
        <v>76</v>
      </c>
      <c r="N403" s="8" t="s">
        <v>1854</v>
      </c>
      <c r="O403" s="6">
        <f>HYPERLINK("https://docs.wto.org/imrd/directdoc.asp?DDFDocuments/t/G/TBTN21/COL250A3.DOCX", "https://docs.wto.org/imrd/directdoc.asp?DDFDocuments/t/G/TBTN21/COL250A3.DOCX")</f>
      </c>
      <c r="P403" s="6">
        <f>HYPERLINK("https://docs.wto.org/imrd/directdoc.asp?DDFDocuments/u/G/TBTN21/COL250A3.DOCX", "https://docs.wto.org/imrd/directdoc.asp?DDFDocuments/u/G/TBTN21/COL250A3.DOCX")</f>
      </c>
      <c r="Q403" s="6">
        <f>HYPERLINK("https://docs.wto.org/imrd/directdoc.asp?DDFDocuments/v/G/TBTN21/COL250A3.DOCX", "https://docs.wto.org/imrd/directdoc.asp?DDFDocuments/v/G/TBTN21/COL250A3.DOCX")</f>
      </c>
    </row>
    <row r="404">
      <c r="A404" s="6" t="s">
        <v>1636</v>
      </c>
      <c r="B404" s="7">
        <v>45523</v>
      </c>
      <c r="C404" s="6">
        <f>HYPERLINK("https://eping.wto.org/en/Search?viewData= G/SPS/N/ARM/54"," G/SPS/N/ARM/54")</f>
      </c>
      <c r="D404" s="8" t="s">
        <v>1855</v>
      </c>
      <c r="E404" s="8" t="s">
        <v>1856</v>
      </c>
      <c r="F404" s="8" t="s">
        <v>1857</v>
      </c>
      <c r="G404" s="6" t="s">
        <v>1251</v>
      </c>
      <c r="H404" s="6" t="s">
        <v>40</v>
      </c>
      <c r="I404" s="6" t="s">
        <v>184</v>
      </c>
      <c r="J404" s="6" t="s">
        <v>1858</v>
      </c>
      <c r="K404" s="6" t="s">
        <v>40</v>
      </c>
      <c r="L404" s="7">
        <v>45583</v>
      </c>
      <c r="M404" s="6" t="s">
        <v>25</v>
      </c>
      <c r="N404" s="8" t="s">
        <v>1859</v>
      </c>
      <c r="O404" s="6">
        <f>HYPERLINK("https://docs.wto.org/imrd/directdoc.asp?DDFDocuments/t/G/SPS/NARM54.DOCX", "https://docs.wto.org/imrd/directdoc.asp?DDFDocuments/t/G/SPS/NARM54.DOCX")</f>
      </c>
      <c r="P404" s="6">
        <f>HYPERLINK("https://docs.wto.org/imrd/directdoc.asp?DDFDocuments/u/G/SPS/NARM54.DOCX", "https://docs.wto.org/imrd/directdoc.asp?DDFDocuments/u/G/SPS/NARM54.DOCX")</f>
      </c>
      <c r="Q404" s="6">
        <f>HYPERLINK("https://docs.wto.org/imrd/directdoc.asp?DDFDocuments/v/G/SPS/NARM54.DOCX", "https://docs.wto.org/imrd/directdoc.asp?DDFDocuments/v/G/SPS/NARM54.DOCX")</f>
      </c>
    </row>
    <row r="405">
      <c r="A405" s="6" t="s">
        <v>331</v>
      </c>
      <c r="B405" s="7">
        <v>45523</v>
      </c>
      <c r="C405" s="6">
        <f>HYPERLINK("https://eping.wto.org/en/Search?viewData= G/TBT/N/ARE/618, G/TBT/N/BHR/705, G/TBT/N/KWT/684, G/TBT/N/OMN/529, G/TBT/N/QAT/680, G/TBT/N/SAU/1348, G/TBT/N/YEM/286"," G/TBT/N/ARE/618, G/TBT/N/BHR/705, G/TBT/N/KWT/684, G/TBT/N/OMN/529, G/TBT/N/QAT/680, G/TBT/N/SAU/1348, G/TBT/N/YEM/286")</f>
      </c>
      <c r="D405" s="8" t="s">
        <v>1822</v>
      </c>
      <c r="E405" s="8" t="s">
        <v>1823</v>
      </c>
      <c r="F405" s="8" t="s">
        <v>334</v>
      </c>
      <c r="G405" s="6" t="s">
        <v>40</v>
      </c>
      <c r="H405" s="6" t="s">
        <v>336</v>
      </c>
      <c r="I405" s="6" t="s">
        <v>259</v>
      </c>
      <c r="J405" s="6" t="s">
        <v>24</v>
      </c>
      <c r="K405" s="6"/>
      <c r="L405" s="7">
        <v>45583</v>
      </c>
      <c r="M405" s="6" t="s">
        <v>25</v>
      </c>
      <c r="N405" s="8" t="s">
        <v>1824</v>
      </c>
      <c r="O405" s="6">
        <f>HYPERLINK("https://docs.wto.org/imrd/directdoc.asp?DDFDocuments/t/G/TBTN24/ARE618.DOCX", "https://docs.wto.org/imrd/directdoc.asp?DDFDocuments/t/G/TBTN24/ARE618.DOCX")</f>
      </c>
      <c r="P405" s="6">
        <f>HYPERLINK("https://docs.wto.org/imrd/directdoc.asp?DDFDocuments/u/G/TBTN24/ARE618.DOCX", "https://docs.wto.org/imrd/directdoc.asp?DDFDocuments/u/G/TBTN24/ARE618.DOCX")</f>
      </c>
      <c r="Q405" s="6">
        <f>HYPERLINK("https://docs.wto.org/imrd/directdoc.asp?DDFDocuments/v/G/TBTN24/ARE618.DOCX", "https://docs.wto.org/imrd/directdoc.asp?DDFDocuments/v/G/TBTN24/ARE618.DOCX")</f>
      </c>
    </row>
    <row r="406">
      <c r="A406" s="6" t="s">
        <v>343</v>
      </c>
      <c r="B406" s="7">
        <v>45523</v>
      </c>
      <c r="C406" s="6">
        <f>HYPERLINK("https://eping.wto.org/en/Search?viewData= G/TBT/N/ARE/620, G/TBT/N/BHR/707, G/TBT/N/KWT/686, G/TBT/N/OMN/531, G/TBT/N/QAT/682, G/TBT/N/SAU/1350, G/TBT/N/YEM/288"," G/TBT/N/ARE/620, G/TBT/N/BHR/707, G/TBT/N/KWT/686, G/TBT/N/OMN/531, G/TBT/N/QAT/682, G/TBT/N/SAU/1350, G/TBT/N/YEM/288")</f>
      </c>
      <c r="D406" s="8" t="s">
        <v>1807</v>
      </c>
      <c r="E406" s="8" t="s">
        <v>1808</v>
      </c>
      <c r="F406" s="8" t="s">
        <v>334</v>
      </c>
      <c r="G406" s="6" t="s">
        <v>40</v>
      </c>
      <c r="H406" s="6" t="s">
        <v>336</v>
      </c>
      <c r="I406" s="6" t="s">
        <v>259</v>
      </c>
      <c r="J406" s="6" t="s">
        <v>24</v>
      </c>
      <c r="K406" s="6"/>
      <c r="L406" s="7">
        <v>45583</v>
      </c>
      <c r="M406" s="6" t="s">
        <v>25</v>
      </c>
      <c r="N406" s="8" t="s">
        <v>1809</v>
      </c>
      <c r="O406" s="6">
        <f>HYPERLINK("https://docs.wto.org/imrd/directdoc.asp?DDFDocuments/t/G/TBTN24/ARE620.DOCX", "https://docs.wto.org/imrd/directdoc.asp?DDFDocuments/t/G/TBTN24/ARE620.DOCX")</f>
      </c>
      <c r="P406" s="6">
        <f>HYPERLINK("https://docs.wto.org/imrd/directdoc.asp?DDFDocuments/u/G/TBTN24/ARE620.DOCX", "https://docs.wto.org/imrd/directdoc.asp?DDFDocuments/u/G/TBTN24/ARE620.DOCX")</f>
      </c>
      <c r="Q406" s="6">
        <f>HYPERLINK("https://docs.wto.org/imrd/directdoc.asp?DDFDocuments/v/G/TBTN24/ARE620.DOCX", "https://docs.wto.org/imrd/directdoc.asp?DDFDocuments/v/G/TBTN24/ARE620.DOCX")</f>
      </c>
    </row>
    <row r="407">
      <c r="A407" s="6" t="s">
        <v>391</v>
      </c>
      <c r="B407" s="7">
        <v>45523</v>
      </c>
      <c r="C407" s="6">
        <f>HYPERLINK("https://eping.wto.org/en/Search?viewData= G/TBT/N/ARE/620, G/TBT/N/BHR/707, G/TBT/N/KWT/686, G/TBT/N/OMN/531, G/TBT/N/QAT/682, G/TBT/N/SAU/1350, G/TBT/N/YEM/288"," G/TBT/N/ARE/620, G/TBT/N/BHR/707, G/TBT/N/KWT/686, G/TBT/N/OMN/531, G/TBT/N/QAT/682, G/TBT/N/SAU/1350, G/TBT/N/YEM/288")</f>
      </c>
      <c r="D407" s="8" t="s">
        <v>1807</v>
      </c>
      <c r="E407" s="8" t="s">
        <v>1808</v>
      </c>
      <c r="F407" s="8" t="s">
        <v>334</v>
      </c>
      <c r="G407" s="6" t="s">
        <v>40</v>
      </c>
      <c r="H407" s="6" t="s">
        <v>336</v>
      </c>
      <c r="I407" s="6" t="s">
        <v>259</v>
      </c>
      <c r="J407" s="6" t="s">
        <v>24</v>
      </c>
      <c r="K407" s="6"/>
      <c r="L407" s="7">
        <v>45583</v>
      </c>
      <c r="M407" s="6" t="s">
        <v>25</v>
      </c>
      <c r="N407" s="8" t="s">
        <v>1809</v>
      </c>
      <c r="O407" s="6">
        <f>HYPERLINK("https://docs.wto.org/imrd/directdoc.asp?DDFDocuments/t/G/TBTN24/ARE620.DOCX", "https://docs.wto.org/imrd/directdoc.asp?DDFDocuments/t/G/TBTN24/ARE620.DOCX")</f>
      </c>
      <c r="P407" s="6">
        <f>HYPERLINK("https://docs.wto.org/imrd/directdoc.asp?DDFDocuments/u/G/TBTN24/ARE620.DOCX", "https://docs.wto.org/imrd/directdoc.asp?DDFDocuments/u/G/TBTN24/ARE620.DOCX")</f>
      </c>
      <c r="Q407" s="6">
        <f>HYPERLINK("https://docs.wto.org/imrd/directdoc.asp?DDFDocuments/v/G/TBTN24/ARE620.DOCX", "https://docs.wto.org/imrd/directdoc.asp?DDFDocuments/v/G/TBTN24/ARE620.DOCX")</f>
      </c>
    </row>
    <row r="408">
      <c r="A408" s="6" t="s">
        <v>331</v>
      </c>
      <c r="B408" s="7">
        <v>45523</v>
      </c>
      <c r="C408" s="6">
        <f>HYPERLINK("https://eping.wto.org/en/Search?viewData= G/TBT/N/ARE/620, G/TBT/N/BHR/707, G/TBT/N/KWT/686, G/TBT/N/OMN/531, G/TBT/N/QAT/682, G/TBT/N/SAU/1350, G/TBT/N/YEM/288"," G/TBT/N/ARE/620, G/TBT/N/BHR/707, G/TBT/N/KWT/686, G/TBT/N/OMN/531, G/TBT/N/QAT/682, G/TBT/N/SAU/1350, G/TBT/N/YEM/288")</f>
      </c>
      <c r="D408" s="8" t="s">
        <v>1807</v>
      </c>
      <c r="E408" s="8" t="s">
        <v>1808</v>
      </c>
      <c r="F408" s="8" t="s">
        <v>334</v>
      </c>
      <c r="G408" s="6" t="s">
        <v>40</v>
      </c>
      <c r="H408" s="6" t="s">
        <v>336</v>
      </c>
      <c r="I408" s="6" t="s">
        <v>259</v>
      </c>
      <c r="J408" s="6" t="s">
        <v>24</v>
      </c>
      <c r="K408" s="6"/>
      <c r="L408" s="7">
        <v>45583</v>
      </c>
      <c r="M408" s="6" t="s">
        <v>25</v>
      </c>
      <c r="N408" s="8" t="s">
        <v>1809</v>
      </c>
      <c r="O408" s="6">
        <f>HYPERLINK("https://docs.wto.org/imrd/directdoc.asp?DDFDocuments/t/G/TBTN24/ARE620.DOCX", "https://docs.wto.org/imrd/directdoc.asp?DDFDocuments/t/G/TBTN24/ARE620.DOCX")</f>
      </c>
      <c r="P408" s="6">
        <f>HYPERLINK("https://docs.wto.org/imrd/directdoc.asp?DDFDocuments/u/G/TBTN24/ARE620.DOCX", "https://docs.wto.org/imrd/directdoc.asp?DDFDocuments/u/G/TBTN24/ARE620.DOCX")</f>
      </c>
      <c r="Q408" s="6">
        <f>HYPERLINK("https://docs.wto.org/imrd/directdoc.asp?DDFDocuments/v/G/TBTN24/ARE620.DOCX", "https://docs.wto.org/imrd/directdoc.asp?DDFDocuments/v/G/TBTN24/ARE620.DOCX")</f>
      </c>
    </row>
    <row r="409">
      <c r="A409" s="6" t="s">
        <v>343</v>
      </c>
      <c r="B409" s="7">
        <v>45523</v>
      </c>
      <c r="C409" s="6">
        <f>HYPERLINK("https://eping.wto.org/en/Search?viewData= G/TBT/N/ARE/618, G/TBT/N/BHR/705, G/TBT/N/KWT/684, G/TBT/N/OMN/529, G/TBT/N/QAT/680, G/TBT/N/SAU/1348, G/TBT/N/YEM/286"," G/TBT/N/ARE/618, G/TBT/N/BHR/705, G/TBT/N/KWT/684, G/TBT/N/OMN/529, G/TBT/N/QAT/680, G/TBT/N/SAU/1348, G/TBT/N/YEM/286")</f>
      </c>
      <c r="D409" s="8" t="s">
        <v>1822</v>
      </c>
      <c r="E409" s="8" t="s">
        <v>1823</v>
      </c>
      <c r="F409" s="8" t="s">
        <v>334</v>
      </c>
      <c r="G409" s="6" t="s">
        <v>40</v>
      </c>
      <c r="H409" s="6" t="s">
        <v>336</v>
      </c>
      <c r="I409" s="6" t="s">
        <v>259</v>
      </c>
      <c r="J409" s="6" t="s">
        <v>24</v>
      </c>
      <c r="K409" s="6"/>
      <c r="L409" s="7">
        <v>45583</v>
      </c>
      <c r="M409" s="6" t="s">
        <v>25</v>
      </c>
      <c r="N409" s="8" t="s">
        <v>1824</v>
      </c>
      <c r="O409" s="6">
        <f>HYPERLINK("https://docs.wto.org/imrd/directdoc.asp?DDFDocuments/t/G/TBTN24/ARE618.DOCX", "https://docs.wto.org/imrd/directdoc.asp?DDFDocuments/t/G/TBTN24/ARE618.DOCX")</f>
      </c>
      <c r="P409" s="6">
        <f>HYPERLINK("https://docs.wto.org/imrd/directdoc.asp?DDFDocuments/u/G/TBTN24/ARE618.DOCX", "https://docs.wto.org/imrd/directdoc.asp?DDFDocuments/u/G/TBTN24/ARE618.DOCX")</f>
      </c>
      <c r="Q409" s="6">
        <f>HYPERLINK("https://docs.wto.org/imrd/directdoc.asp?DDFDocuments/v/G/TBTN24/ARE618.DOCX", "https://docs.wto.org/imrd/directdoc.asp?DDFDocuments/v/G/TBTN24/ARE618.DOCX")</f>
      </c>
    </row>
    <row r="410">
      <c r="A410" s="6" t="s">
        <v>1636</v>
      </c>
      <c r="B410" s="7">
        <v>45523</v>
      </c>
      <c r="C410" s="6">
        <f>HYPERLINK("https://eping.wto.org/en/Search?viewData= G/SPS/N/ARM/57"," G/SPS/N/ARM/57")</f>
      </c>
      <c r="D410" s="8" t="s">
        <v>1860</v>
      </c>
      <c r="E410" s="8" t="s">
        <v>1861</v>
      </c>
      <c r="F410" s="8" t="s">
        <v>1833</v>
      </c>
      <c r="G410" s="6" t="s">
        <v>40</v>
      </c>
      <c r="H410" s="6" t="s">
        <v>40</v>
      </c>
      <c r="I410" s="6" t="s">
        <v>353</v>
      </c>
      <c r="J410" s="6" t="s">
        <v>915</v>
      </c>
      <c r="K410" s="6" t="s">
        <v>40</v>
      </c>
      <c r="L410" s="7">
        <v>45551</v>
      </c>
      <c r="M410" s="6" t="s">
        <v>25</v>
      </c>
      <c r="N410" s="8" t="s">
        <v>1862</v>
      </c>
      <c r="O410" s="6">
        <f>HYPERLINK("https://docs.wto.org/imrd/directdoc.asp?DDFDocuments/t/G/SPS/NARM57.DOCX", "https://docs.wto.org/imrd/directdoc.asp?DDFDocuments/t/G/SPS/NARM57.DOCX")</f>
      </c>
      <c r="P410" s="6">
        <f>HYPERLINK("https://docs.wto.org/imrd/directdoc.asp?DDFDocuments/u/G/SPS/NARM57.DOCX", "https://docs.wto.org/imrd/directdoc.asp?DDFDocuments/u/G/SPS/NARM57.DOCX")</f>
      </c>
      <c r="Q410" s="6">
        <f>HYPERLINK("https://docs.wto.org/imrd/directdoc.asp?DDFDocuments/v/G/SPS/NARM57.DOCX", "https://docs.wto.org/imrd/directdoc.asp?DDFDocuments/v/G/SPS/NARM57.DOCX")</f>
      </c>
    </row>
    <row r="411">
      <c r="A411" s="6" t="s">
        <v>167</v>
      </c>
      <c r="B411" s="7">
        <v>45523</v>
      </c>
      <c r="C411" s="6">
        <f>HYPERLINK("https://eping.wto.org/en/Search?viewData= G/SPS/N/TUR/147"," G/SPS/N/TUR/147")</f>
      </c>
      <c r="D411" s="8" t="s">
        <v>1863</v>
      </c>
      <c r="E411" s="8" t="s">
        <v>1864</v>
      </c>
      <c r="F411" s="8" t="s">
        <v>1735</v>
      </c>
      <c r="G411" s="6" t="s">
        <v>1865</v>
      </c>
      <c r="H411" s="6" t="s">
        <v>40</v>
      </c>
      <c r="I411" s="6" t="s">
        <v>38</v>
      </c>
      <c r="J411" s="6" t="s">
        <v>60</v>
      </c>
      <c r="K411" s="6" t="s">
        <v>40</v>
      </c>
      <c r="L411" s="7">
        <v>45583</v>
      </c>
      <c r="M411" s="6" t="s">
        <v>25</v>
      </c>
      <c r="N411" s="8" t="s">
        <v>1866</v>
      </c>
      <c r="O411" s="6">
        <f>HYPERLINK("https://docs.wto.org/imrd/directdoc.asp?DDFDocuments/t/G/SPS/NTUR147.DOCX", "https://docs.wto.org/imrd/directdoc.asp?DDFDocuments/t/G/SPS/NTUR147.DOCX")</f>
      </c>
      <c r="P411" s="6">
        <f>HYPERLINK("https://docs.wto.org/imrd/directdoc.asp?DDFDocuments/u/G/SPS/NTUR147.DOCX", "https://docs.wto.org/imrd/directdoc.asp?DDFDocuments/u/G/SPS/NTUR147.DOCX")</f>
      </c>
      <c r="Q411" s="6">
        <f>HYPERLINK("https://docs.wto.org/imrd/directdoc.asp?DDFDocuments/v/G/SPS/NTUR147.DOCX", "https://docs.wto.org/imrd/directdoc.asp?DDFDocuments/v/G/SPS/NTUR147.DOCX")</f>
      </c>
    </row>
    <row r="412">
      <c r="A412" s="6" t="s">
        <v>391</v>
      </c>
      <c r="B412" s="7">
        <v>45523</v>
      </c>
      <c r="C412" s="6">
        <f>HYPERLINK("https://eping.wto.org/en/Search?viewData= G/TBT/N/ARE/619, G/TBT/N/BHR/706, G/TBT/N/KWT/685, G/TBT/N/OMN/530, G/TBT/N/QAT/681, G/TBT/N/SAU/1349, G/TBT/N/YEM/287"," G/TBT/N/ARE/619, G/TBT/N/BHR/706, G/TBT/N/KWT/685, G/TBT/N/OMN/530, G/TBT/N/QAT/681, G/TBT/N/SAU/1349, G/TBT/N/YEM/287")</f>
      </c>
      <c r="D412" s="8" t="s">
        <v>1803</v>
      </c>
      <c r="E412" s="8" t="s">
        <v>1804</v>
      </c>
      <c r="F412" s="8" t="s">
        <v>334</v>
      </c>
      <c r="G412" s="6" t="s">
        <v>40</v>
      </c>
      <c r="H412" s="6" t="s">
        <v>336</v>
      </c>
      <c r="I412" s="6" t="s">
        <v>259</v>
      </c>
      <c r="J412" s="6" t="s">
        <v>1805</v>
      </c>
      <c r="K412" s="6"/>
      <c r="L412" s="7">
        <v>45583</v>
      </c>
      <c r="M412" s="6" t="s">
        <v>25</v>
      </c>
      <c r="N412" s="8" t="s">
        <v>1806</v>
      </c>
      <c r="O412" s="6">
        <f>HYPERLINK("https://docs.wto.org/imrd/directdoc.asp?DDFDocuments/t/G/TBTN24/ARE619.DOCX", "https://docs.wto.org/imrd/directdoc.asp?DDFDocuments/t/G/TBTN24/ARE619.DOCX")</f>
      </c>
      <c r="P412" s="6">
        <f>HYPERLINK("https://docs.wto.org/imrd/directdoc.asp?DDFDocuments/u/G/TBTN24/ARE619.DOCX", "https://docs.wto.org/imrd/directdoc.asp?DDFDocuments/u/G/TBTN24/ARE619.DOCX")</f>
      </c>
      <c r="Q412" s="6">
        <f>HYPERLINK("https://docs.wto.org/imrd/directdoc.asp?DDFDocuments/v/G/TBTN24/ARE619.DOCX", "https://docs.wto.org/imrd/directdoc.asp?DDFDocuments/v/G/TBTN24/ARE619.DOCX")</f>
      </c>
    </row>
    <row r="413">
      <c r="A413" s="6" t="s">
        <v>344</v>
      </c>
      <c r="B413" s="7">
        <v>45523</v>
      </c>
      <c r="C413" s="6">
        <f>HYPERLINK("https://eping.wto.org/en/Search?viewData= G/TBT/N/ARE/619, G/TBT/N/BHR/706, G/TBT/N/KWT/685, G/TBT/N/OMN/530, G/TBT/N/QAT/681, G/TBT/N/SAU/1349, G/TBT/N/YEM/287"," G/TBT/N/ARE/619, G/TBT/N/BHR/706, G/TBT/N/KWT/685, G/TBT/N/OMN/530, G/TBT/N/QAT/681, G/TBT/N/SAU/1349, G/TBT/N/YEM/287")</f>
      </c>
      <c r="D413" s="8" t="s">
        <v>1803</v>
      </c>
      <c r="E413" s="8" t="s">
        <v>1804</v>
      </c>
      <c r="F413" s="8" t="s">
        <v>334</v>
      </c>
      <c r="G413" s="6" t="s">
        <v>40</v>
      </c>
      <c r="H413" s="6" t="s">
        <v>336</v>
      </c>
      <c r="I413" s="6" t="s">
        <v>259</v>
      </c>
      <c r="J413" s="6" t="s">
        <v>1805</v>
      </c>
      <c r="K413" s="6"/>
      <c r="L413" s="7">
        <v>45583</v>
      </c>
      <c r="M413" s="6" t="s">
        <v>25</v>
      </c>
      <c r="N413" s="8" t="s">
        <v>1806</v>
      </c>
      <c r="O413" s="6">
        <f>HYPERLINK("https://docs.wto.org/imrd/directdoc.asp?DDFDocuments/t/G/TBTN24/ARE619.DOCX", "https://docs.wto.org/imrd/directdoc.asp?DDFDocuments/t/G/TBTN24/ARE619.DOCX")</f>
      </c>
      <c r="P413" s="6">
        <f>HYPERLINK("https://docs.wto.org/imrd/directdoc.asp?DDFDocuments/u/G/TBTN24/ARE619.DOCX", "https://docs.wto.org/imrd/directdoc.asp?DDFDocuments/u/G/TBTN24/ARE619.DOCX")</f>
      </c>
      <c r="Q413" s="6">
        <f>HYPERLINK("https://docs.wto.org/imrd/directdoc.asp?DDFDocuments/v/G/TBTN24/ARE619.DOCX", "https://docs.wto.org/imrd/directdoc.asp?DDFDocuments/v/G/TBTN24/ARE619.DOCX")</f>
      </c>
    </row>
    <row r="414">
      <c r="A414" s="6" t="s">
        <v>412</v>
      </c>
      <c r="B414" s="7">
        <v>45523</v>
      </c>
      <c r="C414" s="6">
        <f>HYPERLINK("https://eping.wto.org/en/Search?viewData= G/TBT/N/COL/247/Add.3"," G/TBT/N/COL/247/Add.3")</f>
      </c>
      <c r="D414" s="8" t="s">
        <v>1849</v>
      </c>
      <c r="E414" s="8" t="s">
        <v>1850</v>
      </c>
      <c r="F414" s="8" t="s">
        <v>1867</v>
      </c>
      <c r="G414" s="6" t="s">
        <v>1868</v>
      </c>
      <c r="H414" s="6" t="s">
        <v>1869</v>
      </c>
      <c r="I414" s="6" t="s">
        <v>1870</v>
      </c>
      <c r="J414" s="6" t="s">
        <v>40</v>
      </c>
      <c r="K414" s="6"/>
      <c r="L414" s="7" t="s">
        <v>40</v>
      </c>
      <c r="M414" s="6" t="s">
        <v>76</v>
      </c>
      <c r="N414" s="8" t="s">
        <v>1871</v>
      </c>
      <c r="O414" s="6">
        <f>HYPERLINK("https://docs.wto.org/imrd/directdoc.asp?DDFDocuments/t/G/TBTN21/COL247A3.DOCX", "https://docs.wto.org/imrd/directdoc.asp?DDFDocuments/t/G/TBTN21/COL247A3.DOCX")</f>
      </c>
      <c r="P414" s="6">
        <f>HYPERLINK("https://docs.wto.org/imrd/directdoc.asp?DDFDocuments/u/G/TBTN21/COL247A3.DOCX", "https://docs.wto.org/imrd/directdoc.asp?DDFDocuments/u/G/TBTN21/COL247A3.DOCX")</f>
      </c>
      <c r="Q414" s="6">
        <f>HYPERLINK("https://docs.wto.org/imrd/directdoc.asp?DDFDocuments/v/G/TBTN21/COL247A3.DOCX", "https://docs.wto.org/imrd/directdoc.asp?DDFDocuments/v/G/TBTN21/COL247A3.DOCX")</f>
      </c>
    </row>
    <row r="415">
      <c r="A415" s="6" t="s">
        <v>344</v>
      </c>
      <c r="B415" s="7">
        <v>45523</v>
      </c>
      <c r="C415" s="6">
        <f>HYPERLINK("https://eping.wto.org/en/Search?viewData= G/TBT/N/ARE/618, G/TBT/N/BHR/705, G/TBT/N/KWT/684, G/TBT/N/OMN/529, G/TBT/N/QAT/680, G/TBT/N/SAU/1348, G/TBT/N/YEM/286"," G/TBT/N/ARE/618, G/TBT/N/BHR/705, G/TBT/N/KWT/684, G/TBT/N/OMN/529, G/TBT/N/QAT/680, G/TBT/N/SAU/1348, G/TBT/N/YEM/286")</f>
      </c>
      <c r="D415" s="8" t="s">
        <v>1822</v>
      </c>
      <c r="E415" s="8" t="s">
        <v>1823</v>
      </c>
      <c r="F415" s="8" t="s">
        <v>334</v>
      </c>
      <c r="G415" s="6" t="s">
        <v>40</v>
      </c>
      <c r="H415" s="6" t="s">
        <v>336</v>
      </c>
      <c r="I415" s="6" t="s">
        <v>259</v>
      </c>
      <c r="J415" s="6" t="s">
        <v>24</v>
      </c>
      <c r="K415" s="6"/>
      <c r="L415" s="7">
        <v>45583</v>
      </c>
      <c r="M415" s="6" t="s">
        <v>25</v>
      </c>
      <c r="N415" s="8" t="s">
        <v>1824</v>
      </c>
      <c r="O415" s="6">
        <f>HYPERLINK("https://docs.wto.org/imrd/directdoc.asp?DDFDocuments/t/G/TBTN24/ARE618.DOCX", "https://docs.wto.org/imrd/directdoc.asp?DDFDocuments/t/G/TBTN24/ARE618.DOCX")</f>
      </c>
      <c r="P415" s="6">
        <f>HYPERLINK("https://docs.wto.org/imrd/directdoc.asp?DDFDocuments/u/G/TBTN24/ARE618.DOCX", "https://docs.wto.org/imrd/directdoc.asp?DDFDocuments/u/G/TBTN24/ARE618.DOCX")</f>
      </c>
      <c r="Q415" s="6">
        <f>HYPERLINK("https://docs.wto.org/imrd/directdoc.asp?DDFDocuments/v/G/TBTN24/ARE618.DOCX", "https://docs.wto.org/imrd/directdoc.asp?DDFDocuments/v/G/TBTN24/ARE618.DOCX")</f>
      </c>
    </row>
    <row r="416">
      <c r="A416" s="6" t="s">
        <v>160</v>
      </c>
      <c r="B416" s="7">
        <v>45520</v>
      </c>
      <c r="C416" s="6">
        <f>HYPERLINK("https://eping.wto.org/en/Search?viewData= G/TBT/N/USA/1068/Add.3"," G/TBT/N/USA/1068/Add.3")</f>
      </c>
      <c r="D416" s="8" t="s">
        <v>1872</v>
      </c>
      <c r="E416" s="8" t="s">
        <v>1873</v>
      </c>
      <c r="F416" s="8" t="s">
        <v>1874</v>
      </c>
      <c r="G416" s="6" t="s">
        <v>40</v>
      </c>
      <c r="H416" s="6" t="s">
        <v>1875</v>
      </c>
      <c r="I416" s="6" t="s">
        <v>75</v>
      </c>
      <c r="J416" s="6" t="s">
        <v>40</v>
      </c>
      <c r="K416" s="6"/>
      <c r="L416" s="7" t="s">
        <v>40</v>
      </c>
      <c r="M416" s="6" t="s">
        <v>76</v>
      </c>
      <c r="N416" s="8" t="s">
        <v>1876</v>
      </c>
      <c r="O416" s="6">
        <f>HYPERLINK("https://docs.wto.org/imrd/directdoc.asp?DDFDocuments/t/G/TBTN16/USA1068A3.DOCX", "https://docs.wto.org/imrd/directdoc.asp?DDFDocuments/t/G/TBTN16/USA1068A3.DOCX")</f>
      </c>
      <c r="P416" s="6">
        <f>HYPERLINK("https://docs.wto.org/imrd/directdoc.asp?DDFDocuments/u/G/TBTN16/USA1068A3.DOCX", "https://docs.wto.org/imrd/directdoc.asp?DDFDocuments/u/G/TBTN16/USA1068A3.DOCX")</f>
      </c>
      <c r="Q416" s="6">
        <f>HYPERLINK("https://docs.wto.org/imrd/directdoc.asp?DDFDocuments/v/G/TBTN16/USA1068A3.DOCX", "https://docs.wto.org/imrd/directdoc.asp?DDFDocuments/v/G/TBTN16/USA1068A3.DOCX")</f>
      </c>
    </row>
    <row r="417">
      <c r="A417" s="6" t="s">
        <v>401</v>
      </c>
      <c r="B417" s="7">
        <v>45520</v>
      </c>
      <c r="C417" s="6">
        <f>HYPERLINK("https://eping.wto.org/en/Search?viewData= G/TBT/N/KOR/1224"," G/TBT/N/KOR/1224")</f>
      </c>
      <c r="D417" s="8" t="s">
        <v>1877</v>
      </c>
      <c r="E417" s="8" t="s">
        <v>1878</v>
      </c>
      <c r="F417" s="8" t="s">
        <v>404</v>
      </c>
      <c r="G417" s="6" t="s">
        <v>40</v>
      </c>
      <c r="H417" s="6" t="s">
        <v>336</v>
      </c>
      <c r="I417" s="6" t="s">
        <v>259</v>
      </c>
      <c r="J417" s="6" t="s">
        <v>1879</v>
      </c>
      <c r="K417" s="6"/>
      <c r="L417" s="7">
        <v>45580</v>
      </c>
      <c r="M417" s="6" t="s">
        <v>25</v>
      </c>
      <c r="N417" s="8" t="s">
        <v>1880</v>
      </c>
      <c r="O417" s="6">
        <f>HYPERLINK("https://docs.wto.org/imrd/directdoc.asp?DDFDocuments/t/G/TBTN24/KOR1224.DOCX", "https://docs.wto.org/imrd/directdoc.asp?DDFDocuments/t/G/TBTN24/KOR1224.DOCX")</f>
      </c>
      <c r="P417" s="6">
        <f>HYPERLINK("https://docs.wto.org/imrd/directdoc.asp?DDFDocuments/u/G/TBTN24/KOR1224.DOCX", "https://docs.wto.org/imrd/directdoc.asp?DDFDocuments/u/G/TBTN24/KOR1224.DOCX")</f>
      </c>
      <c r="Q417" s="6">
        <f>HYPERLINK("https://docs.wto.org/imrd/directdoc.asp?DDFDocuments/v/G/TBTN24/KOR1224.DOCX", "https://docs.wto.org/imrd/directdoc.asp?DDFDocuments/v/G/TBTN24/KOR1224.DOCX")</f>
      </c>
    </row>
    <row r="418">
      <c r="A418" s="6" t="s">
        <v>401</v>
      </c>
      <c r="B418" s="7">
        <v>45520</v>
      </c>
      <c r="C418" s="6">
        <f>HYPERLINK("https://eping.wto.org/en/Search?viewData= G/TBT/N/KOR/1225"," G/TBT/N/KOR/1225")</f>
      </c>
      <c r="D418" s="8" t="s">
        <v>1881</v>
      </c>
      <c r="E418" s="8" t="s">
        <v>1882</v>
      </c>
      <c r="F418" s="8" t="s">
        <v>404</v>
      </c>
      <c r="G418" s="6" t="s">
        <v>40</v>
      </c>
      <c r="H418" s="6" t="s">
        <v>336</v>
      </c>
      <c r="I418" s="6" t="s">
        <v>259</v>
      </c>
      <c r="J418" s="6" t="s">
        <v>178</v>
      </c>
      <c r="K418" s="6"/>
      <c r="L418" s="7">
        <v>45580</v>
      </c>
      <c r="M418" s="6" t="s">
        <v>25</v>
      </c>
      <c r="N418" s="8" t="s">
        <v>1883</v>
      </c>
      <c r="O418" s="6">
        <f>HYPERLINK("https://docs.wto.org/imrd/directdoc.asp?DDFDocuments/t/G/TBTN24/KOR1225.DOCX", "https://docs.wto.org/imrd/directdoc.asp?DDFDocuments/t/G/TBTN24/KOR1225.DOCX")</f>
      </c>
      <c r="P418" s="6">
        <f>HYPERLINK("https://docs.wto.org/imrd/directdoc.asp?DDFDocuments/u/G/TBTN24/KOR1225.DOCX", "https://docs.wto.org/imrd/directdoc.asp?DDFDocuments/u/G/TBTN24/KOR1225.DOCX")</f>
      </c>
      <c r="Q418" s="6">
        <f>HYPERLINK("https://docs.wto.org/imrd/directdoc.asp?DDFDocuments/v/G/TBTN24/KOR1225.DOCX", "https://docs.wto.org/imrd/directdoc.asp?DDFDocuments/v/G/TBTN24/KOR1225.DOCX")</f>
      </c>
    </row>
    <row r="419">
      <c r="A419" s="6" t="s">
        <v>595</v>
      </c>
      <c r="B419" s="7">
        <v>45520</v>
      </c>
      <c r="C419" s="6">
        <f>HYPERLINK("https://eping.wto.org/en/Search?viewData= G/TBT/N/SGP/72"," G/TBT/N/SGP/72")</f>
      </c>
      <c r="D419" s="8" t="s">
        <v>1884</v>
      </c>
      <c r="E419" s="8" t="s">
        <v>1885</v>
      </c>
      <c r="F419" s="8" t="s">
        <v>1886</v>
      </c>
      <c r="G419" s="6" t="s">
        <v>1887</v>
      </c>
      <c r="H419" s="6" t="s">
        <v>1888</v>
      </c>
      <c r="I419" s="6" t="s">
        <v>147</v>
      </c>
      <c r="J419" s="6" t="s">
        <v>40</v>
      </c>
      <c r="K419" s="6"/>
      <c r="L419" s="7">
        <v>45580</v>
      </c>
      <c r="M419" s="6" t="s">
        <v>25</v>
      </c>
      <c r="N419" s="6"/>
      <c r="O419" s="6">
        <f>HYPERLINK("https://docs.wto.org/imrd/directdoc.asp?DDFDocuments/t/G/TBTN24/SGP72.DOCX", "https://docs.wto.org/imrd/directdoc.asp?DDFDocuments/t/G/TBTN24/SGP72.DOCX")</f>
      </c>
      <c r="P419" s="6">
        <f>HYPERLINK("https://docs.wto.org/imrd/directdoc.asp?DDFDocuments/u/G/TBTN24/SGP72.DOCX", "https://docs.wto.org/imrd/directdoc.asp?DDFDocuments/u/G/TBTN24/SGP72.DOCX")</f>
      </c>
      <c r="Q419" s="6">
        <f>HYPERLINK("https://docs.wto.org/imrd/directdoc.asp?DDFDocuments/v/G/TBTN24/SGP72.DOCX", "https://docs.wto.org/imrd/directdoc.asp?DDFDocuments/v/G/TBTN24/SGP72.DOCX")</f>
      </c>
    </row>
    <row r="420">
      <c r="A420" s="6" t="s">
        <v>1775</v>
      </c>
      <c r="B420" s="7">
        <v>45520</v>
      </c>
      <c r="C420" s="6">
        <f>HYPERLINK("https://eping.wto.org/en/Search?viewData= G/TBT/N/PHL/335"," G/TBT/N/PHL/335")</f>
      </c>
      <c r="D420" s="8" t="s">
        <v>1889</v>
      </c>
      <c r="E420" s="8" t="s">
        <v>1890</v>
      </c>
      <c r="F420" s="8" t="s">
        <v>1891</v>
      </c>
      <c r="G420" s="6" t="s">
        <v>40</v>
      </c>
      <c r="H420" s="6" t="s">
        <v>1892</v>
      </c>
      <c r="I420" s="6" t="s">
        <v>147</v>
      </c>
      <c r="J420" s="6" t="s">
        <v>24</v>
      </c>
      <c r="K420" s="6"/>
      <c r="L420" s="7">
        <v>45583</v>
      </c>
      <c r="M420" s="6" t="s">
        <v>25</v>
      </c>
      <c r="N420" s="8" t="s">
        <v>1893</v>
      </c>
      <c r="O420" s="6">
        <f>HYPERLINK("https://docs.wto.org/imrd/directdoc.asp?DDFDocuments/t/G/TBTN24/PHL335.DOCX", "https://docs.wto.org/imrd/directdoc.asp?DDFDocuments/t/G/TBTN24/PHL335.DOCX")</f>
      </c>
      <c r="P420" s="6">
        <f>HYPERLINK("https://docs.wto.org/imrd/directdoc.asp?DDFDocuments/u/G/TBTN24/PHL335.DOCX", "https://docs.wto.org/imrd/directdoc.asp?DDFDocuments/u/G/TBTN24/PHL335.DOCX")</f>
      </c>
      <c r="Q420" s="6">
        <f>HYPERLINK("https://docs.wto.org/imrd/directdoc.asp?DDFDocuments/v/G/TBTN24/PHL335.DOCX", "https://docs.wto.org/imrd/directdoc.asp?DDFDocuments/v/G/TBTN24/PHL335.DOCX")</f>
      </c>
    </row>
    <row r="421">
      <c r="A421" s="6" t="s">
        <v>412</v>
      </c>
      <c r="B421" s="7">
        <v>45519</v>
      </c>
      <c r="C421" s="6">
        <f>HYPERLINK("https://eping.wto.org/en/Search?viewData= G/SPS/N/COL/363"," G/SPS/N/COL/363")</f>
      </c>
      <c r="D421" s="8" t="s">
        <v>1894</v>
      </c>
      <c r="E421" s="8" t="s">
        <v>1895</v>
      </c>
      <c r="F421" s="8" t="s">
        <v>1896</v>
      </c>
      <c r="G421" s="6" t="s">
        <v>409</v>
      </c>
      <c r="H421" s="6" t="s">
        <v>40</v>
      </c>
      <c r="I421" s="6" t="s">
        <v>184</v>
      </c>
      <c r="J421" s="6" t="s">
        <v>410</v>
      </c>
      <c r="K421" s="6" t="s">
        <v>160</v>
      </c>
      <c r="L421" s="7">
        <v>45579</v>
      </c>
      <c r="M421" s="6" t="s">
        <v>25</v>
      </c>
      <c r="N421" s="8" t="s">
        <v>1897</v>
      </c>
      <c r="O421" s="6">
        <f>HYPERLINK("https://docs.wto.org/imrd/directdoc.asp?DDFDocuments/t/G/SPS/NCOL363.DOCX", "https://docs.wto.org/imrd/directdoc.asp?DDFDocuments/t/G/SPS/NCOL363.DOCX")</f>
      </c>
      <c r="P421" s="6">
        <f>HYPERLINK("https://docs.wto.org/imrd/directdoc.asp?DDFDocuments/u/G/SPS/NCOL363.DOCX", "https://docs.wto.org/imrd/directdoc.asp?DDFDocuments/u/G/SPS/NCOL363.DOCX")</f>
      </c>
      <c r="Q421" s="6">
        <f>HYPERLINK("https://docs.wto.org/imrd/directdoc.asp?DDFDocuments/v/G/SPS/NCOL363.DOCX", "https://docs.wto.org/imrd/directdoc.asp?DDFDocuments/v/G/SPS/NCOL363.DOCX")</f>
      </c>
    </row>
    <row r="422">
      <c r="A422" s="6" t="s">
        <v>198</v>
      </c>
      <c r="B422" s="7">
        <v>45519</v>
      </c>
      <c r="C422" s="6">
        <f>HYPERLINK("https://eping.wto.org/en/Search?viewData= G/TBT/N/CHL/671/Add.1"," G/TBT/N/CHL/671/Add.1")</f>
      </c>
      <c r="D422" s="8" t="s">
        <v>1898</v>
      </c>
      <c r="E422" s="8" t="s">
        <v>1899</v>
      </c>
      <c r="F422" s="8" t="s">
        <v>1900</v>
      </c>
      <c r="G422" s="6" t="s">
        <v>40</v>
      </c>
      <c r="H422" s="6" t="s">
        <v>1901</v>
      </c>
      <c r="I422" s="6" t="s">
        <v>213</v>
      </c>
      <c r="J422" s="6" t="s">
        <v>40</v>
      </c>
      <c r="K422" s="6"/>
      <c r="L422" s="7" t="s">
        <v>40</v>
      </c>
      <c r="M422" s="6" t="s">
        <v>76</v>
      </c>
      <c r="N422" s="8" t="s">
        <v>1902</v>
      </c>
      <c r="O422" s="6">
        <f>HYPERLINK("https://docs.wto.org/imrd/directdoc.asp?DDFDocuments/t/G/TBTN24/CHL671A1.DOCX", "https://docs.wto.org/imrd/directdoc.asp?DDFDocuments/t/G/TBTN24/CHL671A1.DOCX")</f>
      </c>
      <c r="P422" s="6">
        <f>HYPERLINK("https://docs.wto.org/imrd/directdoc.asp?DDFDocuments/u/G/TBTN24/CHL671A1.DOCX", "https://docs.wto.org/imrd/directdoc.asp?DDFDocuments/u/G/TBTN24/CHL671A1.DOCX")</f>
      </c>
      <c r="Q422" s="6">
        <f>HYPERLINK("https://docs.wto.org/imrd/directdoc.asp?DDFDocuments/v/G/TBTN24/CHL671A1.DOCX", "https://docs.wto.org/imrd/directdoc.asp?DDFDocuments/v/G/TBTN24/CHL671A1.DOCX")</f>
      </c>
    </row>
    <row r="423">
      <c r="A423" s="6" t="s">
        <v>167</v>
      </c>
      <c r="B423" s="7">
        <v>45519</v>
      </c>
      <c r="C423" s="6">
        <f>HYPERLINK("https://eping.wto.org/en/Search?viewData= G/TBT/N/TUR/218"," G/TBT/N/TUR/218")</f>
      </c>
      <c r="D423" s="8" t="s">
        <v>1903</v>
      </c>
      <c r="E423" s="8" t="s">
        <v>1904</v>
      </c>
      <c r="F423" s="8" t="s">
        <v>1905</v>
      </c>
      <c r="G423" s="6" t="s">
        <v>40</v>
      </c>
      <c r="H423" s="6" t="s">
        <v>40</v>
      </c>
      <c r="I423" s="6" t="s">
        <v>147</v>
      </c>
      <c r="J423" s="6" t="s">
        <v>24</v>
      </c>
      <c r="K423" s="6"/>
      <c r="L423" s="7">
        <v>45579</v>
      </c>
      <c r="M423" s="6" t="s">
        <v>25</v>
      </c>
      <c r="N423" s="8" t="s">
        <v>1906</v>
      </c>
      <c r="O423" s="6">
        <f>HYPERLINK("https://docs.wto.org/imrd/directdoc.asp?DDFDocuments/t/G/TBTN24/TUR218.DOCX", "https://docs.wto.org/imrd/directdoc.asp?DDFDocuments/t/G/TBTN24/TUR218.DOCX")</f>
      </c>
      <c r="P423" s="6">
        <f>HYPERLINK("https://docs.wto.org/imrd/directdoc.asp?DDFDocuments/u/G/TBTN24/TUR218.DOCX", "https://docs.wto.org/imrd/directdoc.asp?DDFDocuments/u/G/TBTN24/TUR218.DOCX")</f>
      </c>
      <c r="Q423" s="6">
        <f>HYPERLINK("https://docs.wto.org/imrd/directdoc.asp?DDFDocuments/v/G/TBTN24/TUR218.DOCX", "https://docs.wto.org/imrd/directdoc.asp?DDFDocuments/v/G/TBTN24/TUR218.DOCX")</f>
      </c>
    </row>
    <row r="424">
      <c r="A424" s="6" t="s">
        <v>412</v>
      </c>
      <c r="B424" s="7">
        <v>45519</v>
      </c>
      <c r="C424" s="6">
        <f>HYPERLINK("https://eping.wto.org/en/Search?viewData= G/SPS/N/COL/364"," G/SPS/N/COL/364")</f>
      </c>
      <c r="D424" s="8" t="s">
        <v>1907</v>
      </c>
      <c r="E424" s="8" t="s">
        <v>1908</v>
      </c>
      <c r="F424" s="8" t="s">
        <v>1909</v>
      </c>
      <c r="G424" s="6" t="s">
        <v>40</v>
      </c>
      <c r="H424" s="6" t="s">
        <v>40</v>
      </c>
      <c r="I424" s="6" t="s">
        <v>184</v>
      </c>
      <c r="J424" s="6" t="s">
        <v>410</v>
      </c>
      <c r="K424" s="6" t="s">
        <v>115</v>
      </c>
      <c r="L424" s="7">
        <v>45579</v>
      </c>
      <c r="M424" s="6" t="s">
        <v>25</v>
      </c>
      <c r="N424" s="8" t="s">
        <v>1910</v>
      </c>
      <c r="O424" s="6">
        <f>HYPERLINK("https://docs.wto.org/imrd/directdoc.asp?DDFDocuments/t/G/SPS/NCOL364.DOCX", "https://docs.wto.org/imrd/directdoc.asp?DDFDocuments/t/G/SPS/NCOL364.DOCX")</f>
      </c>
      <c r="P424" s="6">
        <f>HYPERLINK("https://docs.wto.org/imrd/directdoc.asp?DDFDocuments/u/G/SPS/NCOL364.DOCX", "https://docs.wto.org/imrd/directdoc.asp?DDFDocuments/u/G/SPS/NCOL364.DOCX")</f>
      </c>
      <c r="Q424" s="6">
        <f>HYPERLINK("https://docs.wto.org/imrd/directdoc.asp?DDFDocuments/v/G/SPS/NCOL364.DOCX", "https://docs.wto.org/imrd/directdoc.asp?DDFDocuments/v/G/SPS/NCOL364.DOCX")</f>
      </c>
    </row>
    <row r="425">
      <c r="A425" s="6" t="s">
        <v>167</v>
      </c>
      <c r="B425" s="7">
        <v>45519</v>
      </c>
      <c r="C425" s="6">
        <f>HYPERLINK("https://eping.wto.org/en/Search?viewData= G/TBT/N/TUR/16/Add.1"," G/TBT/N/TUR/16/Add.1")</f>
      </c>
      <c r="D425" s="8" t="s">
        <v>1911</v>
      </c>
      <c r="E425" s="8" t="s">
        <v>1912</v>
      </c>
      <c r="F425" s="8" t="s">
        <v>1913</v>
      </c>
      <c r="G425" s="6" t="s">
        <v>40</v>
      </c>
      <c r="H425" s="6" t="s">
        <v>1914</v>
      </c>
      <c r="I425" s="6" t="s">
        <v>147</v>
      </c>
      <c r="J425" s="6" t="s">
        <v>122</v>
      </c>
      <c r="K425" s="6"/>
      <c r="L425" s="7" t="s">
        <v>40</v>
      </c>
      <c r="M425" s="6" t="s">
        <v>76</v>
      </c>
      <c r="N425" s="6"/>
      <c r="O425" s="6">
        <f>HYPERLINK("https://docs.wto.org/imrd/directdoc.asp?DDFDocuments/t/G/TBTN12/TUR16A1.DOCX", "https://docs.wto.org/imrd/directdoc.asp?DDFDocuments/t/G/TBTN12/TUR16A1.DOCX")</f>
      </c>
      <c r="P425" s="6">
        <f>HYPERLINK("https://docs.wto.org/imrd/directdoc.asp?DDFDocuments/u/G/TBTN12/TUR16A1.DOCX", "https://docs.wto.org/imrd/directdoc.asp?DDFDocuments/u/G/TBTN12/TUR16A1.DOCX")</f>
      </c>
      <c r="Q425" s="6">
        <f>HYPERLINK("https://docs.wto.org/imrd/directdoc.asp?DDFDocuments/v/G/TBTN12/TUR16A1.DOCX", "https://docs.wto.org/imrd/directdoc.asp?DDFDocuments/v/G/TBTN12/TUR16A1.DOCX")</f>
      </c>
    </row>
    <row r="426">
      <c r="A426" s="6" t="s">
        <v>167</v>
      </c>
      <c r="B426" s="7">
        <v>45519</v>
      </c>
      <c r="C426" s="6">
        <f>HYPERLINK("https://eping.wto.org/en/Search?viewData= G/TBT/N/TUR/217"," G/TBT/N/TUR/217")</f>
      </c>
      <c r="D426" s="8" t="s">
        <v>1915</v>
      </c>
      <c r="E426" s="8" t="s">
        <v>1916</v>
      </c>
      <c r="F426" s="8" t="s">
        <v>1917</v>
      </c>
      <c r="G426" s="6" t="s">
        <v>40</v>
      </c>
      <c r="H426" s="6" t="s">
        <v>40</v>
      </c>
      <c r="I426" s="6" t="s">
        <v>1918</v>
      </c>
      <c r="J426" s="6" t="s">
        <v>40</v>
      </c>
      <c r="K426" s="6"/>
      <c r="L426" s="7">
        <v>45579</v>
      </c>
      <c r="M426" s="6" t="s">
        <v>25</v>
      </c>
      <c r="N426" s="8" t="s">
        <v>1919</v>
      </c>
      <c r="O426" s="6">
        <f>HYPERLINK("https://docs.wto.org/imrd/directdoc.asp?DDFDocuments/t/G/TBTN24/TUR217.DOCX", "https://docs.wto.org/imrd/directdoc.asp?DDFDocuments/t/G/TBTN24/TUR217.DOCX")</f>
      </c>
      <c r="P426" s="6">
        <f>HYPERLINK("https://docs.wto.org/imrd/directdoc.asp?DDFDocuments/u/G/TBTN24/TUR217.DOCX", "https://docs.wto.org/imrd/directdoc.asp?DDFDocuments/u/G/TBTN24/TUR217.DOCX")</f>
      </c>
      <c r="Q426" s="6">
        <f>HYPERLINK("https://docs.wto.org/imrd/directdoc.asp?DDFDocuments/v/G/TBTN24/TUR217.DOCX", "https://docs.wto.org/imrd/directdoc.asp?DDFDocuments/v/G/TBTN24/TUR217.DOCX")</f>
      </c>
    </row>
    <row r="427">
      <c r="A427" s="6" t="s">
        <v>1920</v>
      </c>
      <c r="B427" s="7">
        <v>45519</v>
      </c>
      <c r="C427" s="6">
        <f>HYPERLINK("https://eping.wto.org/en/Search?viewData= G/TBT/N/ZAF/259"," G/TBT/N/ZAF/259")</f>
      </c>
      <c r="D427" s="8" t="s">
        <v>1921</v>
      </c>
      <c r="E427" s="8" t="s">
        <v>1922</v>
      </c>
      <c r="F427" s="8" t="s">
        <v>1923</v>
      </c>
      <c r="G427" s="6" t="s">
        <v>1924</v>
      </c>
      <c r="H427" s="6" t="s">
        <v>1925</v>
      </c>
      <c r="I427" s="6" t="s">
        <v>1926</v>
      </c>
      <c r="J427" s="6" t="s">
        <v>40</v>
      </c>
      <c r="K427" s="6"/>
      <c r="L427" s="7" t="s">
        <v>40</v>
      </c>
      <c r="M427" s="6" t="s">
        <v>25</v>
      </c>
      <c r="N427" s="8" t="s">
        <v>1927</v>
      </c>
      <c r="O427" s="6">
        <f>HYPERLINK("https://docs.wto.org/imrd/directdoc.asp?DDFDocuments/t/G/TBTN24/ZAF259.DOCX", "https://docs.wto.org/imrd/directdoc.asp?DDFDocuments/t/G/TBTN24/ZAF259.DOCX")</f>
      </c>
      <c r="P427" s="6">
        <f>HYPERLINK("https://docs.wto.org/imrd/directdoc.asp?DDFDocuments/u/G/TBTN24/ZAF259.DOCX", "https://docs.wto.org/imrd/directdoc.asp?DDFDocuments/u/G/TBTN24/ZAF259.DOCX")</f>
      </c>
      <c r="Q427" s="6">
        <f>HYPERLINK("https://docs.wto.org/imrd/directdoc.asp?DDFDocuments/v/G/TBTN24/ZAF259.DOCX", "https://docs.wto.org/imrd/directdoc.asp?DDFDocuments/v/G/TBTN24/ZAF259.DOCX")</f>
      </c>
    </row>
    <row r="428">
      <c r="A428" s="6" t="s">
        <v>322</v>
      </c>
      <c r="B428" s="7">
        <v>45519</v>
      </c>
      <c r="C428" s="6">
        <f>HYPERLINK("https://eping.wto.org/en/Search?viewData= G/SPS/N/TPKM/631"," G/SPS/N/TPKM/631")</f>
      </c>
      <c r="D428" s="8" t="s">
        <v>1928</v>
      </c>
      <c r="E428" s="8" t="s">
        <v>1929</v>
      </c>
      <c r="F428" s="8" t="s">
        <v>1930</v>
      </c>
      <c r="G428" s="6" t="s">
        <v>1931</v>
      </c>
      <c r="H428" s="6" t="s">
        <v>40</v>
      </c>
      <c r="I428" s="6" t="s">
        <v>38</v>
      </c>
      <c r="J428" s="6" t="s">
        <v>103</v>
      </c>
      <c r="K428" s="6" t="s">
        <v>40</v>
      </c>
      <c r="L428" s="7">
        <v>45579</v>
      </c>
      <c r="M428" s="6" t="s">
        <v>25</v>
      </c>
      <c r="N428" s="8" t="s">
        <v>1932</v>
      </c>
      <c r="O428" s="6">
        <f>HYPERLINK("https://docs.wto.org/imrd/directdoc.asp?DDFDocuments/t/G/SPS/NTPKM631.DOCX", "https://docs.wto.org/imrd/directdoc.asp?DDFDocuments/t/G/SPS/NTPKM631.DOCX")</f>
      </c>
      <c r="P428" s="6">
        <f>HYPERLINK("https://docs.wto.org/imrd/directdoc.asp?DDFDocuments/u/G/SPS/NTPKM631.DOCX", "https://docs.wto.org/imrd/directdoc.asp?DDFDocuments/u/G/SPS/NTPKM631.DOCX")</f>
      </c>
      <c r="Q428" s="6">
        <f>HYPERLINK("https://docs.wto.org/imrd/directdoc.asp?DDFDocuments/v/G/SPS/NTPKM631.DOCX", "https://docs.wto.org/imrd/directdoc.asp?DDFDocuments/v/G/SPS/NTPKM631.DOCX")</f>
      </c>
    </row>
    <row r="429">
      <c r="A429" s="6" t="s">
        <v>373</v>
      </c>
      <c r="B429" s="7">
        <v>45519</v>
      </c>
      <c r="C429" s="6">
        <f>HYPERLINK("https://eping.wto.org/en/Search?viewData= G/TBT/N/ISR/1330/Add.3"," G/TBT/N/ISR/1330/Add.3")</f>
      </c>
      <c r="D429" s="8" t="s">
        <v>1933</v>
      </c>
      <c r="E429" s="8" t="s">
        <v>1934</v>
      </c>
      <c r="F429" s="8" t="s">
        <v>1935</v>
      </c>
      <c r="G429" s="6" t="s">
        <v>1936</v>
      </c>
      <c r="H429" s="6" t="s">
        <v>208</v>
      </c>
      <c r="I429" s="6" t="s">
        <v>1166</v>
      </c>
      <c r="J429" s="6" t="s">
        <v>154</v>
      </c>
      <c r="K429" s="6"/>
      <c r="L429" s="7" t="s">
        <v>40</v>
      </c>
      <c r="M429" s="6" t="s">
        <v>76</v>
      </c>
      <c r="N429" s="8" t="s">
        <v>1937</v>
      </c>
      <c r="O429" s="6">
        <f>HYPERLINK("https://docs.wto.org/imrd/directdoc.asp?DDFDocuments/t/G/TBTN24/ISR1330A3.DOCX", "https://docs.wto.org/imrd/directdoc.asp?DDFDocuments/t/G/TBTN24/ISR1330A3.DOCX")</f>
      </c>
      <c r="P429" s="6">
        <f>HYPERLINK("https://docs.wto.org/imrd/directdoc.asp?DDFDocuments/u/G/TBTN24/ISR1330A3.DOCX", "https://docs.wto.org/imrd/directdoc.asp?DDFDocuments/u/G/TBTN24/ISR1330A3.DOCX")</f>
      </c>
      <c r="Q429" s="6">
        <f>HYPERLINK("https://docs.wto.org/imrd/directdoc.asp?DDFDocuments/v/G/TBTN24/ISR1330A3.DOCX", "https://docs.wto.org/imrd/directdoc.asp?DDFDocuments/v/G/TBTN24/ISR1330A3.DOCX")</f>
      </c>
    </row>
    <row r="430">
      <c r="A430" s="6" t="s">
        <v>373</v>
      </c>
      <c r="B430" s="7">
        <v>45519</v>
      </c>
      <c r="C430" s="6">
        <f>HYPERLINK("https://eping.wto.org/en/Search?viewData= G/TBT/N/ISR/1329/Rev.1/Add.1"," G/TBT/N/ISR/1329/Rev.1/Add.1")</f>
      </c>
      <c r="D430" s="8" t="s">
        <v>1938</v>
      </c>
      <c r="E430" s="8" t="s">
        <v>1939</v>
      </c>
      <c r="F430" s="8" t="s">
        <v>1940</v>
      </c>
      <c r="G430" s="6" t="s">
        <v>40</v>
      </c>
      <c r="H430" s="6" t="s">
        <v>40</v>
      </c>
      <c r="I430" s="6" t="s">
        <v>1941</v>
      </c>
      <c r="J430" s="6" t="s">
        <v>40</v>
      </c>
      <c r="K430" s="6"/>
      <c r="L430" s="7" t="s">
        <v>40</v>
      </c>
      <c r="M430" s="6" t="s">
        <v>76</v>
      </c>
      <c r="N430" s="8" t="s">
        <v>1942</v>
      </c>
      <c r="O430" s="6">
        <f>HYPERLINK("https://docs.wto.org/imrd/directdoc.asp?DDFDocuments/t/G/TBTN24/ISR1329R1A1.DOCX", "https://docs.wto.org/imrd/directdoc.asp?DDFDocuments/t/G/TBTN24/ISR1329R1A1.DOCX")</f>
      </c>
      <c r="P430" s="6">
        <f>HYPERLINK("https://docs.wto.org/imrd/directdoc.asp?DDFDocuments/u/G/TBTN24/ISR1329R1A1.DOCX", "https://docs.wto.org/imrd/directdoc.asp?DDFDocuments/u/G/TBTN24/ISR1329R1A1.DOCX")</f>
      </c>
      <c r="Q430" s="6">
        <f>HYPERLINK("https://docs.wto.org/imrd/directdoc.asp?DDFDocuments/v/G/TBTN24/ISR1329R1A1.DOCX", "https://docs.wto.org/imrd/directdoc.asp?DDFDocuments/v/G/TBTN24/ISR1329R1A1.DOCX")</f>
      </c>
    </row>
    <row r="431">
      <c r="A431" s="6" t="s">
        <v>322</v>
      </c>
      <c r="B431" s="7">
        <v>45519</v>
      </c>
      <c r="C431" s="6">
        <f>HYPERLINK("https://eping.wto.org/en/Search?viewData= G/TBT/N/TPKM/538/Add.1"," G/TBT/N/TPKM/538/Add.1")</f>
      </c>
      <c r="D431" s="8" t="s">
        <v>1943</v>
      </c>
      <c r="E431" s="8" t="s">
        <v>1944</v>
      </c>
      <c r="F431" s="8" t="s">
        <v>1945</v>
      </c>
      <c r="G431" s="6" t="s">
        <v>1946</v>
      </c>
      <c r="H431" s="6" t="s">
        <v>1947</v>
      </c>
      <c r="I431" s="6" t="s">
        <v>75</v>
      </c>
      <c r="J431" s="6" t="s">
        <v>40</v>
      </c>
      <c r="K431" s="6"/>
      <c r="L431" s="7" t="s">
        <v>40</v>
      </c>
      <c r="M431" s="6" t="s">
        <v>76</v>
      </c>
      <c r="N431" s="8" t="s">
        <v>1948</v>
      </c>
      <c r="O431" s="6">
        <f>HYPERLINK("https://docs.wto.org/imrd/directdoc.asp?DDFDocuments/t/G/TBTN24/TPKM538A1.DOCX", "https://docs.wto.org/imrd/directdoc.asp?DDFDocuments/t/G/TBTN24/TPKM538A1.DOCX")</f>
      </c>
      <c r="P431" s="6">
        <f>HYPERLINK("https://docs.wto.org/imrd/directdoc.asp?DDFDocuments/u/G/TBTN24/TPKM538A1.DOCX", "https://docs.wto.org/imrd/directdoc.asp?DDFDocuments/u/G/TBTN24/TPKM538A1.DOCX")</f>
      </c>
      <c r="Q431" s="6">
        <f>HYPERLINK("https://docs.wto.org/imrd/directdoc.asp?DDFDocuments/v/G/TBTN24/TPKM538A1.DOCX", "https://docs.wto.org/imrd/directdoc.asp?DDFDocuments/v/G/TBTN24/TPKM538A1.DOCX")</f>
      </c>
    </row>
    <row r="432">
      <c r="A432" s="6" t="s">
        <v>115</v>
      </c>
      <c r="B432" s="7">
        <v>45519</v>
      </c>
      <c r="C432" s="6">
        <f>HYPERLINK("https://eping.wto.org/en/Search?viewData= G/SPS/N/BRA/2322"," G/SPS/N/BRA/2322")</f>
      </c>
      <c r="D432" s="8" t="s">
        <v>1949</v>
      </c>
      <c r="E432" s="8" t="s">
        <v>1950</v>
      </c>
      <c r="F432" s="8" t="s">
        <v>1951</v>
      </c>
      <c r="G432" s="6" t="s">
        <v>40</v>
      </c>
      <c r="H432" s="6" t="s">
        <v>234</v>
      </c>
      <c r="I432" s="6" t="s">
        <v>38</v>
      </c>
      <c r="J432" s="6" t="s">
        <v>39</v>
      </c>
      <c r="K432" s="6"/>
      <c r="L432" s="7">
        <v>45577</v>
      </c>
      <c r="M432" s="6" t="s">
        <v>25</v>
      </c>
      <c r="N432" s="8" t="s">
        <v>1952</v>
      </c>
      <c r="O432" s="6">
        <f>HYPERLINK("https://docs.wto.org/imrd/directdoc.asp?DDFDocuments/t/G/SPS/NBRA2322.DOCX", "https://docs.wto.org/imrd/directdoc.asp?DDFDocuments/t/G/SPS/NBRA2322.DOCX")</f>
      </c>
      <c r="P432" s="6">
        <f>HYPERLINK("https://docs.wto.org/imrd/directdoc.asp?DDFDocuments/u/G/SPS/NBRA2322.DOCX", "https://docs.wto.org/imrd/directdoc.asp?DDFDocuments/u/G/SPS/NBRA2322.DOCX")</f>
      </c>
      <c r="Q432" s="6">
        <f>HYPERLINK("https://docs.wto.org/imrd/directdoc.asp?DDFDocuments/v/G/SPS/NBRA2322.DOCX", "https://docs.wto.org/imrd/directdoc.asp?DDFDocuments/v/G/SPS/NBRA2322.DOCX")</f>
      </c>
    </row>
    <row r="433">
      <c r="A433" s="6" t="s">
        <v>160</v>
      </c>
      <c r="B433" s="7">
        <v>45519</v>
      </c>
      <c r="C433" s="6">
        <f>HYPERLINK("https://eping.wto.org/en/Search?viewData= G/TBT/N/USA/1954/Rev.1/Add.1/Corr.1"," G/TBT/N/USA/1954/Rev.1/Add.1/Corr.1")</f>
      </c>
      <c r="D433" s="8" t="s">
        <v>1953</v>
      </c>
      <c r="E433" s="8" t="s">
        <v>1954</v>
      </c>
      <c r="F433" s="8" t="s">
        <v>1955</v>
      </c>
      <c r="G433" s="6" t="s">
        <v>40</v>
      </c>
      <c r="H433" s="6" t="s">
        <v>1956</v>
      </c>
      <c r="I433" s="6" t="s">
        <v>1957</v>
      </c>
      <c r="J433" s="6" t="s">
        <v>40</v>
      </c>
      <c r="K433" s="6"/>
      <c r="L433" s="7" t="s">
        <v>40</v>
      </c>
      <c r="M433" s="6" t="s">
        <v>224</v>
      </c>
      <c r="N433" s="8" t="s">
        <v>1958</v>
      </c>
      <c r="O433" s="6">
        <f>HYPERLINK("https://docs.wto.org/imrd/directdoc.asp?DDFDocuments/t/G/TBTN22/USA1954R1A1C1.DOCX", "https://docs.wto.org/imrd/directdoc.asp?DDFDocuments/t/G/TBTN22/USA1954R1A1C1.DOCX")</f>
      </c>
      <c r="P433" s="6">
        <f>HYPERLINK("https://docs.wto.org/imrd/directdoc.asp?DDFDocuments/u/G/TBTN22/USA1954R1A1C1.DOCX", "https://docs.wto.org/imrd/directdoc.asp?DDFDocuments/u/G/TBTN22/USA1954R1A1C1.DOCX")</f>
      </c>
      <c r="Q433" s="6">
        <f>HYPERLINK("https://docs.wto.org/imrd/directdoc.asp?DDFDocuments/v/G/TBTN22/USA1954R1A1C1.DOCX", "https://docs.wto.org/imrd/directdoc.asp?DDFDocuments/v/G/TBTN22/USA1954R1A1C1.DOCX")</f>
      </c>
    </row>
    <row r="434">
      <c r="A434" s="6" t="s">
        <v>198</v>
      </c>
      <c r="B434" s="7">
        <v>45518</v>
      </c>
      <c r="C434" s="6">
        <f>HYPERLINK("https://eping.wto.org/en/Search?viewData= G/SPS/N/CHL/799"," G/SPS/N/CHL/799")</f>
      </c>
      <c r="D434" s="8" t="s">
        <v>1959</v>
      </c>
      <c r="E434" s="8" t="s">
        <v>1960</v>
      </c>
      <c r="F434" s="8" t="s">
        <v>1961</v>
      </c>
      <c r="G434" s="6" t="s">
        <v>40</v>
      </c>
      <c r="H434" s="6" t="s">
        <v>40</v>
      </c>
      <c r="I434" s="6" t="s">
        <v>353</v>
      </c>
      <c r="J434" s="6" t="s">
        <v>1962</v>
      </c>
      <c r="K434" s="6" t="s">
        <v>124</v>
      </c>
      <c r="L434" s="7" t="s">
        <v>40</v>
      </c>
      <c r="M434" s="6" t="s">
        <v>25</v>
      </c>
      <c r="N434" s="8" t="s">
        <v>1963</v>
      </c>
      <c r="O434" s="6">
        <f>HYPERLINK("https://docs.wto.org/imrd/directdoc.asp?DDFDocuments/t/G/SPS/NCHL799.DOCX", "https://docs.wto.org/imrd/directdoc.asp?DDFDocuments/t/G/SPS/NCHL799.DOCX")</f>
      </c>
      <c r="P434" s="6">
        <f>HYPERLINK("https://docs.wto.org/imrd/directdoc.asp?DDFDocuments/u/G/SPS/NCHL799.DOCX", "https://docs.wto.org/imrd/directdoc.asp?DDFDocuments/u/G/SPS/NCHL799.DOCX")</f>
      </c>
      <c r="Q434" s="6">
        <f>HYPERLINK("https://docs.wto.org/imrd/directdoc.asp?DDFDocuments/v/G/SPS/NCHL799.DOCX", "https://docs.wto.org/imrd/directdoc.asp?DDFDocuments/v/G/SPS/NCHL799.DOCX")</f>
      </c>
    </row>
    <row r="435">
      <c r="A435" s="6" t="s">
        <v>392</v>
      </c>
      <c r="B435" s="7">
        <v>45518</v>
      </c>
      <c r="C435" s="6">
        <f>HYPERLINK("https://eping.wto.org/en/Search?viewData= G/SPS/N/SAU/528/Add.1"," G/SPS/N/SAU/528/Add.1")</f>
      </c>
      <c r="D435" s="8" t="s">
        <v>1964</v>
      </c>
      <c r="E435" s="8" t="s">
        <v>1965</v>
      </c>
      <c r="F435" s="8" t="s">
        <v>1966</v>
      </c>
      <c r="G435" s="6" t="s">
        <v>40</v>
      </c>
      <c r="H435" s="6" t="s">
        <v>40</v>
      </c>
      <c r="I435" s="6" t="s">
        <v>791</v>
      </c>
      <c r="J435" s="6" t="s">
        <v>1967</v>
      </c>
      <c r="K435" s="6"/>
      <c r="L435" s="7">
        <v>45534</v>
      </c>
      <c r="M435" s="6" t="s">
        <v>76</v>
      </c>
      <c r="N435" s="8" t="s">
        <v>1968</v>
      </c>
      <c r="O435" s="6">
        <f>HYPERLINK("https://docs.wto.org/imrd/directdoc.asp?DDFDocuments/t/G/SPS/NSAU528A1.DOCX", "https://docs.wto.org/imrd/directdoc.asp?DDFDocuments/t/G/SPS/NSAU528A1.DOCX")</f>
      </c>
      <c r="P435" s="6">
        <f>HYPERLINK("https://docs.wto.org/imrd/directdoc.asp?DDFDocuments/u/G/SPS/NSAU528A1.DOCX", "https://docs.wto.org/imrd/directdoc.asp?DDFDocuments/u/G/SPS/NSAU528A1.DOCX")</f>
      </c>
      <c r="Q435" s="6">
        <f>HYPERLINK("https://docs.wto.org/imrd/directdoc.asp?DDFDocuments/v/G/SPS/NSAU528A1.DOCX", "https://docs.wto.org/imrd/directdoc.asp?DDFDocuments/v/G/SPS/NSAU528A1.DOCX")</f>
      </c>
    </row>
    <row r="436">
      <c r="A436" s="6" t="s">
        <v>343</v>
      </c>
      <c r="B436" s="7">
        <v>45518</v>
      </c>
      <c r="C436" s="6">
        <f>HYPERLINK("https://eping.wto.org/en/Search?viewData= G/TBT/N/ARE/617, G/TBT/N/BHR/704, G/TBT/N/KWT/683, G/TBT/N/OMN/528, G/TBT/N/QAT/679, G/TBT/N/SAU/1347, G/TBT/N/YEM/285"," G/TBT/N/ARE/617, G/TBT/N/BHR/704, G/TBT/N/KWT/683, G/TBT/N/OMN/528, G/TBT/N/QAT/679, G/TBT/N/SAU/1347, G/TBT/N/YEM/285")</f>
      </c>
      <c r="D436" s="8" t="s">
        <v>1969</v>
      </c>
      <c r="E436" s="8" t="s">
        <v>1970</v>
      </c>
      <c r="F436" s="8" t="s">
        <v>1971</v>
      </c>
      <c r="G436" s="6" t="s">
        <v>40</v>
      </c>
      <c r="H436" s="6" t="s">
        <v>1972</v>
      </c>
      <c r="I436" s="6" t="s">
        <v>872</v>
      </c>
      <c r="J436" s="6" t="s">
        <v>24</v>
      </c>
      <c r="K436" s="6"/>
      <c r="L436" s="7">
        <v>45533</v>
      </c>
      <c r="M436" s="6" t="s">
        <v>25</v>
      </c>
      <c r="N436" s="8" t="s">
        <v>1973</v>
      </c>
      <c r="O436" s="6">
        <f>HYPERLINK("https://docs.wto.org/imrd/directdoc.asp?DDFDocuments/t/G/TBTN24/ARE617.DOCX", "https://docs.wto.org/imrd/directdoc.asp?DDFDocuments/t/G/TBTN24/ARE617.DOCX")</f>
      </c>
      <c r="P436" s="6">
        <f>HYPERLINK("https://docs.wto.org/imrd/directdoc.asp?DDFDocuments/u/G/TBTN24/ARE617.DOCX", "https://docs.wto.org/imrd/directdoc.asp?DDFDocuments/u/G/TBTN24/ARE617.DOCX")</f>
      </c>
      <c r="Q436" s="6">
        <f>HYPERLINK("https://docs.wto.org/imrd/directdoc.asp?DDFDocuments/v/G/TBTN24/ARE617.DOCX", "https://docs.wto.org/imrd/directdoc.asp?DDFDocuments/v/G/TBTN24/ARE617.DOCX")</f>
      </c>
    </row>
    <row r="437">
      <c r="A437" s="6" t="s">
        <v>392</v>
      </c>
      <c r="B437" s="7">
        <v>45518</v>
      </c>
      <c r="C437" s="6">
        <f>HYPERLINK("https://eping.wto.org/en/Search?viewData= G/TBT/N/ARE/617, G/TBT/N/BHR/704, G/TBT/N/KWT/683, G/TBT/N/OMN/528, G/TBT/N/QAT/679, G/TBT/N/SAU/1347, G/TBT/N/YEM/285"," G/TBT/N/ARE/617, G/TBT/N/BHR/704, G/TBT/N/KWT/683, G/TBT/N/OMN/528, G/TBT/N/QAT/679, G/TBT/N/SAU/1347, G/TBT/N/YEM/285")</f>
      </c>
      <c r="D437" s="8" t="s">
        <v>1969</v>
      </c>
      <c r="E437" s="8" t="s">
        <v>1970</v>
      </c>
      <c r="F437" s="8" t="s">
        <v>1971</v>
      </c>
      <c r="G437" s="6" t="s">
        <v>40</v>
      </c>
      <c r="H437" s="6" t="s">
        <v>1972</v>
      </c>
      <c r="I437" s="6" t="s">
        <v>872</v>
      </c>
      <c r="J437" s="6" t="s">
        <v>24</v>
      </c>
      <c r="K437" s="6"/>
      <c r="L437" s="7">
        <v>45533</v>
      </c>
      <c r="M437" s="6" t="s">
        <v>25</v>
      </c>
      <c r="N437" s="8" t="s">
        <v>1973</v>
      </c>
      <c r="O437" s="6">
        <f>HYPERLINK("https://docs.wto.org/imrd/directdoc.asp?DDFDocuments/t/G/TBTN24/ARE617.DOCX", "https://docs.wto.org/imrd/directdoc.asp?DDFDocuments/t/G/TBTN24/ARE617.DOCX")</f>
      </c>
      <c r="P437" s="6">
        <f>HYPERLINK("https://docs.wto.org/imrd/directdoc.asp?DDFDocuments/u/G/TBTN24/ARE617.DOCX", "https://docs.wto.org/imrd/directdoc.asp?DDFDocuments/u/G/TBTN24/ARE617.DOCX")</f>
      </c>
      <c r="Q437" s="6">
        <f>HYPERLINK("https://docs.wto.org/imrd/directdoc.asp?DDFDocuments/v/G/TBTN24/ARE617.DOCX", "https://docs.wto.org/imrd/directdoc.asp?DDFDocuments/v/G/TBTN24/ARE617.DOCX")</f>
      </c>
    </row>
    <row r="438">
      <c r="A438" s="6" t="s">
        <v>1974</v>
      </c>
      <c r="B438" s="7">
        <v>45518</v>
      </c>
      <c r="C438" s="6">
        <f>HYPERLINK("https://eping.wto.org/en/Search?viewData= G/TBT/N/MNG/18"," G/TBT/N/MNG/18")</f>
      </c>
      <c r="D438" s="8" t="s">
        <v>1975</v>
      </c>
      <c r="E438" s="8" t="s">
        <v>1976</v>
      </c>
      <c r="F438" s="8" t="s">
        <v>1891</v>
      </c>
      <c r="G438" s="6" t="s">
        <v>40</v>
      </c>
      <c r="H438" s="6" t="s">
        <v>1892</v>
      </c>
      <c r="I438" s="6" t="s">
        <v>147</v>
      </c>
      <c r="J438" s="6" t="s">
        <v>24</v>
      </c>
      <c r="K438" s="6"/>
      <c r="L438" s="7">
        <v>45578</v>
      </c>
      <c r="M438" s="6" t="s">
        <v>25</v>
      </c>
      <c r="N438" s="8" t="s">
        <v>1977</v>
      </c>
      <c r="O438" s="6">
        <f>HYPERLINK("https://docs.wto.org/imrd/directdoc.asp?DDFDocuments/t/G/TBTN24/MNG18.DOCX", "https://docs.wto.org/imrd/directdoc.asp?DDFDocuments/t/G/TBTN24/MNG18.DOCX")</f>
      </c>
      <c r="P438" s="6">
        <f>HYPERLINK("https://docs.wto.org/imrd/directdoc.asp?DDFDocuments/u/G/TBTN24/MNG18.DOCX", "https://docs.wto.org/imrd/directdoc.asp?DDFDocuments/u/G/TBTN24/MNG18.DOCX")</f>
      </c>
      <c r="Q438" s="6">
        <f>HYPERLINK("https://docs.wto.org/imrd/directdoc.asp?DDFDocuments/v/G/TBTN24/MNG18.DOCX", "https://docs.wto.org/imrd/directdoc.asp?DDFDocuments/v/G/TBTN24/MNG18.DOCX")</f>
      </c>
    </row>
    <row r="439">
      <c r="A439" s="6" t="s">
        <v>344</v>
      </c>
      <c r="B439" s="7">
        <v>45518</v>
      </c>
      <c r="C439" s="6">
        <f>HYPERLINK("https://eping.wto.org/en/Search?viewData= G/TBT/N/ARE/617, G/TBT/N/BHR/704, G/TBT/N/KWT/683, G/TBT/N/OMN/528, G/TBT/N/QAT/679, G/TBT/N/SAU/1347, G/TBT/N/YEM/285"," G/TBT/N/ARE/617, G/TBT/N/BHR/704, G/TBT/N/KWT/683, G/TBT/N/OMN/528, G/TBT/N/QAT/679, G/TBT/N/SAU/1347, G/TBT/N/YEM/285")</f>
      </c>
      <c r="D439" s="8" t="s">
        <v>1969</v>
      </c>
      <c r="E439" s="8" t="s">
        <v>1970</v>
      </c>
      <c r="F439" s="8" t="s">
        <v>1971</v>
      </c>
      <c r="G439" s="6" t="s">
        <v>40</v>
      </c>
      <c r="H439" s="6" t="s">
        <v>1972</v>
      </c>
      <c r="I439" s="6" t="s">
        <v>872</v>
      </c>
      <c r="J439" s="6" t="s">
        <v>24</v>
      </c>
      <c r="K439" s="6"/>
      <c r="L439" s="7">
        <v>45533</v>
      </c>
      <c r="M439" s="6" t="s">
        <v>25</v>
      </c>
      <c r="N439" s="8" t="s">
        <v>1973</v>
      </c>
      <c r="O439" s="6">
        <f>HYPERLINK("https://docs.wto.org/imrd/directdoc.asp?DDFDocuments/t/G/TBTN24/ARE617.DOCX", "https://docs.wto.org/imrd/directdoc.asp?DDFDocuments/t/G/TBTN24/ARE617.DOCX")</f>
      </c>
      <c r="P439" s="6">
        <f>HYPERLINK("https://docs.wto.org/imrd/directdoc.asp?DDFDocuments/u/G/TBTN24/ARE617.DOCX", "https://docs.wto.org/imrd/directdoc.asp?DDFDocuments/u/G/TBTN24/ARE617.DOCX")</f>
      </c>
      <c r="Q439" s="6">
        <f>HYPERLINK("https://docs.wto.org/imrd/directdoc.asp?DDFDocuments/v/G/TBTN24/ARE617.DOCX", "https://docs.wto.org/imrd/directdoc.asp?DDFDocuments/v/G/TBTN24/ARE617.DOCX")</f>
      </c>
    </row>
    <row r="440">
      <c r="A440" s="6" t="s">
        <v>372</v>
      </c>
      <c r="B440" s="7">
        <v>45518</v>
      </c>
      <c r="C440" s="6">
        <f>HYPERLINK("https://eping.wto.org/en/Search?viewData= G/TBT/N/ARE/617, G/TBT/N/BHR/704, G/TBT/N/KWT/683, G/TBT/N/OMN/528, G/TBT/N/QAT/679, G/TBT/N/SAU/1347, G/TBT/N/YEM/285"," G/TBT/N/ARE/617, G/TBT/N/BHR/704, G/TBT/N/KWT/683, G/TBT/N/OMN/528, G/TBT/N/QAT/679, G/TBT/N/SAU/1347, G/TBT/N/YEM/285")</f>
      </c>
      <c r="D440" s="8" t="s">
        <v>1969</v>
      </c>
      <c r="E440" s="8" t="s">
        <v>1970</v>
      </c>
      <c r="F440" s="8" t="s">
        <v>1971</v>
      </c>
      <c r="G440" s="6" t="s">
        <v>40</v>
      </c>
      <c r="H440" s="6" t="s">
        <v>1972</v>
      </c>
      <c r="I440" s="6" t="s">
        <v>872</v>
      </c>
      <c r="J440" s="6" t="s">
        <v>24</v>
      </c>
      <c r="K440" s="6"/>
      <c r="L440" s="7">
        <v>45533</v>
      </c>
      <c r="M440" s="6" t="s">
        <v>25</v>
      </c>
      <c r="N440" s="8" t="s">
        <v>1973</v>
      </c>
      <c r="O440" s="6">
        <f>HYPERLINK("https://docs.wto.org/imrd/directdoc.asp?DDFDocuments/t/G/TBTN24/ARE617.DOCX", "https://docs.wto.org/imrd/directdoc.asp?DDFDocuments/t/G/TBTN24/ARE617.DOCX")</f>
      </c>
      <c r="P440" s="6">
        <f>HYPERLINK("https://docs.wto.org/imrd/directdoc.asp?DDFDocuments/u/G/TBTN24/ARE617.DOCX", "https://docs.wto.org/imrd/directdoc.asp?DDFDocuments/u/G/TBTN24/ARE617.DOCX")</f>
      </c>
      <c r="Q440" s="6">
        <f>HYPERLINK("https://docs.wto.org/imrd/directdoc.asp?DDFDocuments/v/G/TBTN24/ARE617.DOCX", "https://docs.wto.org/imrd/directdoc.asp?DDFDocuments/v/G/TBTN24/ARE617.DOCX")</f>
      </c>
    </row>
    <row r="441">
      <c r="A441" s="6" t="s">
        <v>391</v>
      </c>
      <c r="B441" s="7">
        <v>45518</v>
      </c>
      <c r="C441" s="6">
        <f>HYPERLINK("https://eping.wto.org/en/Search?viewData= G/TBT/N/ARE/350/Add.1, G/TBT/N/BHR/464/Add.1, G/TBT/N/KWT/346/Add.1, G/TBT/N/OMN/286/Add.1, G/TBT/N/QAT/460/Add.1, G/TBT/N/SAU/966/Add.1, G/TBT/N/YEM/66/Add.1"," G/TBT/N/ARE/350/Add.1, G/TBT/N/BHR/464/Add.1, G/TBT/N/KWT/346/Add.1, G/TBT/N/OMN/286/Add.1, G/TBT/N/QAT/460/Add.1, G/TBT/N/SAU/966/Add.1, G/TBT/N/YEM/66/Add.1")</f>
      </c>
      <c r="D441" s="8" t="s">
        <v>1978</v>
      </c>
      <c r="E441" s="8" t="s">
        <v>1979</v>
      </c>
      <c r="F441" s="8" t="s">
        <v>1980</v>
      </c>
      <c r="G441" s="6" t="s">
        <v>40</v>
      </c>
      <c r="H441" s="6" t="s">
        <v>1981</v>
      </c>
      <c r="I441" s="6" t="s">
        <v>147</v>
      </c>
      <c r="J441" s="6" t="s">
        <v>122</v>
      </c>
      <c r="K441" s="6"/>
      <c r="L441" s="7" t="s">
        <v>40</v>
      </c>
      <c r="M441" s="6" t="s">
        <v>76</v>
      </c>
      <c r="N441" s="8" t="s">
        <v>1982</v>
      </c>
      <c r="O441" s="6">
        <f>HYPERLINK("https://docs.wto.org/imrd/directdoc.asp?DDFDocuments/t/G/TBTN17/ARE350A1.DOCX", "https://docs.wto.org/imrd/directdoc.asp?DDFDocuments/t/G/TBTN17/ARE350A1.DOCX")</f>
      </c>
      <c r="P441" s="6">
        <f>HYPERLINK("https://docs.wto.org/imrd/directdoc.asp?DDFDocuments/u/G/TBTN17/ARE350A1.DOCX", "https://docs.wto.org/imrd/directdoc.asp?DDFDocuments/u/G/TBTN17/ARE350A1.DOCX")</f>
      </c>
      <c r="Q441" s="6">
        <f>HYPERLINK("https://docs.wto.org/imrd/directdoc.asp?DDFDocuments/v/G/TBTN17/ARE350A1.DOCX", "https://docs.wto.org/imrd/directdoc.asp?DDFDocuments/v/G/TBTN17/ARE350A1.DOCX")</f>
      </c>
    </row>
    <row r="442">
      <c r="A442" s="6" t="s">
        <v>1688</v>
      </c>
      <c r="B442" s="7">
        <v>45518</v>
      </c>
      <c r="C442" s="6">
        <f>HYPERLINK("https://eping.wto.org/en/Search?viewData= G/TBT/N/THA/750"," G/TBT/N/THA/750")</f>
      </c>
      <c r="D442" s="8" t="s">
        <v>1983</v>
      </c>
      <c r="E442" s="8" t="s">
        <v>1984</v>
      </c>
      <c r="F442" s="8" t="s">
        <v>1985</v>
      </c>
      <c r="G442" s="6" t="s">
        <v>40</v>
      </c>
      <c r="H442" s="6" t="s">
        <v>1986</v>
      </c>
      <c r="I442" s="6" t="s">
        <v>147</v>
      </c>
      <c r="J442" s="6" t="s">
        <v>40</v>
      </c>
      <c r="K442" s="6"/>
      <c r="L442" s="7">
        <v>45578</v>
      </c>
      <c r="M442" s="6" t="s">
        <v>25</v>
      </c>
      <c r="N442" s="8" t="s">
        <v>1987</v>
      </c>
      <c r="O442" s="6">
        <f>HYPERLINK("https://docs.wto.org/imrd/directdoc.asp?DDFDocuments/t/G/TBTN24/THA750.DOCX", "https://docs.wto.org/imrd/directdoc.asp?DDFDocuments/t/G/TBTN24/THA750.DOCX")</f>
      </c>
      <c r="P442" s="6">
        <f>HYPERLINK("https://docs.wto.org/imrd/directdoc.asp?DDFDocuments/u/G/TBTN24/THA750.DOCX", "https://docs.wto.org/imrd/directdoc.asp?DDFDocuments/u/G/TBTN24/THA750.DOCX")</f>
      </c>
      <c r="Q442" s="6">
        <f>HYPERLINK("https://docs.wto.org/imrd/directdoc.asp?DDFDocuments/v/G/TBTN24/THA750.DOCX", "https://docs.wto.org/imrd/directdoc.asp?DDFDocuments/v/G/TBTN24/THA750.DOCX")</f>
      </c>
    </row>
    <row r="443">
      <c r="A443" s="6" t="s">
        <v>392</v>
      </c>
      <c r="B443" s="7">
        <v>45518</v>
      </c>
      <c r="C443" s="6">
        <f>HYPERLINK("https://eping.wto.org/en/Search?viewData= G/TBT/N/ARE/350/Add.1, G/TBT/N/BHR/464/Add.1, G/TBT/N/KWT/346/Add.1, G/TBT/N/OMN/286/Add.1, G/TBT/N/QAT/460/Add.1, G/TBT/N/SAU/966/Add.1, G/TBT/N/YEM/66/Add.1"," G/TBT/N/ARE/350/Add.1, G/TBT/N/BHR/464/Add.1, G/TBT/N/KWT/346/Add.1, G/TBT/N/OMN/286/Add.1, G/TBT/N/QAT/460/Add.1, G/TBT/N/SAU/966/Add.1, G/TBT/N/YEM/66/Add.1")</f>
      </c>
      <c r="D443" s="8" t="s">
        <v>1978</v>
      </c>
      <c r="E443" s="8" t="s">
        <v>1979</v>
      </c>
      <c r="F443" s="8" t="s">
        <v>1980</v>
      </c>
      <c r="G443" s="6" t="s">
        <v>40</v>
      </c>
      <c r="H443" s="6" t="s">
        <v>1981</v>
      </c>
      <c r="I443" s="6" t="s">
        <v>147</v>
      </c>
      <c r="J443" s="6" t="s">
        <v>122</v>
      </c>
      <c r="K443" s="6"/>
      <c r="L443" s="7" t="s">
        <v>40</v>
      </c>
      <c r="M443" s="6" t="s">
        <v>76</v>
      </c>
      <c r="N443" s="8" t="s">
        <v>1982</v>
      </c>
      <c r="O443" s="6">
        <f>HYPERLINK("https://docs.wto.org/imrd/directdoc.asp?DDFDocuments/t/G/TBTN17/ARE350A1.DOCX", "https://docs.wto.org/imrd/directdoc.asp?DDFDocuments/t/G/TBTN17/ARE350A1.DOCX")</f>
      </c>
      <c r="P443" s="6">
        <f>HYPERLINK("https://docs.wto.org/imrd/directdoc.asp?DDFDocuments/u/G/TBTN17/ARE350A1.DOCX", "https://docs.wto.org/imrd/directdoc.asp?DDFDocuments/u/G/TBTN17/ARE350A1.DOCX")</f>
      </c>
      <c r="Q443" s="6">
        <f>HYPERLINK("https://docs.wto.org/imrd/directdoc.asp?DDFDocuments/v/G/TBTN17/ARE350A1.DOCX", "https://docs.wto.org/imrd/directdoc.asp?DDFDocuments/v/G/TBTN17/ARE350A1.DOCX")</f>
      </c>
    </row>
    <row r="444">
      <c r="A444" s="6" t="s">
        <v>160</v>
      </c>
      <c r="B444" s="7">
        <v>45518</v>
      </c>
      <c r="C444" s="6">
        <f>HYPERLINK("https://eping.wto.org/en/Search?viewData= G/SPS/N/USA/3466"," G/SPS/N/USA/3466")</f>
      </c>
      <c r="D444" s="8" t="s">
        <v>1988</v>
      </c>
      <c r="E444" s="8" t="s">
        <v>1989</v>
      </c>
      <c r="F444" s="8" t="s">
        <v>1990</v>
      </c>
      <c r="G444" s="6" t="s">
        <v>40</v>
      </c>
      <c r="H444" s="6" t="s">
        <v>40</v>
      </c>
      <c r="I444" s="6" t="s">
        <v>38</v>
      </c>
      <c r="J444" s="6" t="s">
        <v>60</v>
      </c>
      <c r="K444" s="6"/>
      <c r="L444" s="7" t="s">
        <v>40</v>
      </c>
      <c r="M444" s="6" t="s">
        <v>25</v>
      </c>
      <c r="N444" s="8" t="s">
        <v>1991</v>
      </c>
      <c r="O444" s="6">
        <f>HYPERLINK("https://docs.wto.org/imrd/directdoc.asp?DDFDocuments/t/G/SPS/NUSA3466.DOCX", "https://docs.wto.org/imrd/directdoc.asp?DDFDocuments/t/G/SPS/NUSA3466.DOCX")</f>
      </c>
      <c r="P444" s="6">
        <f>HYPERLINK("https://docs.wto.org/imrd/directdoc.asp?DDFDocuments/u/G/SPS/NUSA3466.DOCX", "https://docs.wto.org/imrd/directdoc.asp?DDFDocuments/u/G/SPS/NUSA3466.DOCX")</f>
      </c>
      <c r="Q444" s="6">
        <f>HYPERLINK("https://docs.wto.org/imrd/directdoc.asp?DDFDocuments/v/G/SPS/NUSA3466.DOCX", "https://docs.wto.org/imrd/directdoc.asp?DDFDocuments/v/G/SPS/NUSA3466.DOCX")</f>
      </c>
    </row>
    <row r="445">
      <c r="A445" s="6" t="s">
        <v>344</v>
      </c>
      <c r="B445" s="7">
        <v>45518</v>
      </c>
      <c r="C445" s="6">
        <f>HYPERLINK("https://eping.wto.org/en/Search?viewData= G/TBT/N/ARE/350/Add.1, G/TBT/N/BHR/464/Add.1, G/TBT/N/KWT/346/Add.1, G/TBT/N/OMN/286/Add.1, G/TBT/N/QAT/460/Add.1, G/TBT/N/SAU/966/Add.1, G/TBT/N/YEM/66/Add.1"," G/TBT/N/ARE/350/Add.1, G/TBT/N/BHR/464/Add.1, G/TBT/N/KWT/346/Add.1, G/TBT/N/OMN/286/Add.1, G/TBT/N/QAT/460/Add.1, G/TBT/N/SAU/966/Add.1, G/TBT/N/YEM/66/Add.1")</f>
      </c>
      <c r="D445" s="8" t="s">
        <v>1978</v>
      </c>
      <c r="E445" s="8" t="s">
        <v>1979</v>
      </c>
      <c r="F445" s="8" t="s">
        <v>1980</v>
      </c>
      <c r="G445" s="6" t="s">
        <v>40</v>
      </c>
      <c r="H445" s="6" t="s">
        <v>1981</v>
      </c>
      <c r="I445" s="6" t="s">
        <v>147</v>
      </c>
      <c r="J445" s="6" t="s">
        <v>122</v>
      </c>
      <c r="K445" s="6"/>
      <c r="L445" s="7" t="s">
        <v>40</v>
      </c>
      <c r="M445" s="6" t="s">
        <v>76</v>
      </c>
      <c r="N445" s="8" t="s">
        <v>1982</v>
      </c>
      <c r="O445" s="6">
        <f>HYPERLINK("https://docs.wto.org/imrd/directdoc.asp?DDFDocuments/t/G/TBTN17/ARE350A1.DOCX", "https://docs.wto.org/imrd/directdoc.asp?DDFDocuments/t/G/TBTN17/ARE350A1.DOCX")</f>
      </c>
      <c r="P445" s="6">
        <f>HYPERLINK("https://docs.wto.org/imrd/directdoc.asp?DDFDocuments/u/G/TBTN17/ARE350A1.DOCX", "https://docs.wto.org/imrd/directdoc.asp?DDFDocuments/u/G/TBTN17/ARE350A1.DOCX")</f>
      </c>
      <c r="Q445" s="6">
        <f>HYPERLINK("https://docs.wto.org/imrd/directdoc.asp?DDFDocuments/v/G/TBTN17/ARE350A1.DOCX", "https://docs.wto.org/imrd/directdoc.asp?DDFDocuments/v/G/TBTN17/ARE350A1.DOCX")</f>
      </c>
    </row>
    <row r="446">
      <c r="A446" s="6" t="s">
        <v>331</v>
      </c>
      <c r="B446" s="7">
        <v>45518</v>
      </c>
      <c r="C446" s="6">
        <f>HYPERLINK("https://eping.wto.org/en/Search?viewData= G/TBT/N/ARE/350/Add.1, G/TBT/N/BHR/464/Add.1, G/TBT/N/KWT/346/Add.1, G/TBT/N/OMN/286/Add.1, G/TBT/N/QAT/460/Add.1, G/TBT/N/SAU/966/Add.1, G/TBT/N/YEM/66/Add.1"," G/TBT/N/ARE/350/Add.1, G/TBT/N/BHR/464/Add.1, G/TBT/N/KWT/346/Add.1, G/TBT/N/OMN/286/Add.1, G/TBT/N/QAT/460/Add.1, G/TBT/N/SAU/966/Add.1, G/TBT/N/YEM/66/Add.1")</f>
      </c>
      <c r="D446" s="8" t="s">
        <v>1978</v>
      </c>
      <c r="E446" s="8" t="s">
        <v>1979</v>
      </c>
      <c r="F446" s="8" t="s">
        <v>1980</v>
      </c>
      <c r="G446" s="6" t="s">
        <v>40</v>
      </c>
      <c r="H446" s="6" t="s">
        <v>1981</v>
      </c>
      <c r="I446" s="6" t="s">
        <v>147</v>
      </c>
      <c r="J446" s="6" t="s">
        <v>122</v>
      </c>
      <c r="K446" s="6"/>
      <c r="L446" s="7" t="s">
        <v>40</v>
      </c>
      <c r="M446" s="6" t="s">
        <v>76</v>
      </c>
      <c r="N446" s="8" t="s">
        <v>1982</v>
      </c>
      <c r="O446" s="6">
        <f>HYPERLINK("https://docs.wto.org/imrd/directdoc.asp?DDFDocuments/t/G/TBTN17/ARE350A1.DOCX", "https://docs.wto.org/imrd/directdoc.asp?DDFDocuments/t/G/TBTN17/ARE350A1.DOCX")</f>
      </c>
      <c r="P446" s="6">
        <f>HYPERLINK("https://docs.wto.org/imrd/directdoc.asp?DDFDocuments/u/G/TBTN17/ARE350A1.DOCX", "https://docs.wto.org/imrd/directdoc.asp?DDFDocuments/u/G/TBTN17/ARE350A1.DOCX")</f>
      </c>
      <c r="Q446" s="6">
        <f>HYPERLINK("https://docs.wto.org/imrd/directdoc.asp?DDFDocuments/v/G/TBTN17/ARE350A1.DOCX", "https://docs.wto.org/imrd/directdoc.asp?DDFDocuments/v/G/TBTN17/ARE350A1.DOCX")</f>
      </c>
    </row>
    <row r="447">
      <c r="A447" s="6" t="s">
        <v>393</v>
      </c>
      <c r="B447" s="7">
        <v>45518</v>
      </c>
      <c r="C447" s="6">
        <f>HYPERLINK("https://eping.wto.org/en/Search?viewData= G/TBT/N/ARE/617, G/TBT/N/BHR/704, G/TBT/N/KWT/683, G/TBT/N/OMN/528, G/TBT/N/QAT/679, G/TBT/N/SAU/1347, G/TBT/N/YEM/285"," G/TBT/N/ARE/617, G/TBT/N/BHR/704, G/TBT/N/KWT/683, G/TBT/N/OMN/528, G/TBT/N/QAT/679, G/TBT/N/SAU/1347, G/TBT/N/YEM/285")</f>
      </c>
      <c r="D447" s="8" t="s">
        <v>1969</v>
      </c>
      <c r="E447" s="8" t="s">
        <v>1970</v>
      </c>
      <c r="F447" s="8" t="s">
        <v>1971</v>
      </c>
      <c r="G447" s="6" t="s">
        <v>40</v>
      </c>
      <c r="H447" s="6" t="s">
        <v>1972</v>
      </c>
      <c r="I447" s="6" t="s">
        <v>872</v>
      </c>
      <c r="J447" s="6" t="s">
        <v>24</v>
      </c>
      <c r="K447" s="6"/>
      <c r="L447" s="7">
        <v>45533</v>
      </c>
      <c r="M447" s="6" t="s">
        <v>25</v>
      </c>
      <c r="N447" s="8" t="s">
        <v>1973</v>
      </c>
      <c r="O447" s="6">
        <f>HYPERLINK("https://docs.wto.org/imrd/directdoc.asp?DDFDocuments/t/G/TBTN24/ARE617.DOCX", "https://docs.wto.org/imrd/directdoc.asp?DDFDocuments/t/G/TBTN24/ARE617.DOCX")</f>
      </c>
      <c r="P447" s="6">
        <f>HYPERLINK("https://docs.wto.org/imrd/directdoc.asp?DDFDocuments/u/G/TBTN24/ARE617.DOCX", "https://docs.wto.org/imrd/directdoc.asp?DDFDocuments/u/G/TBTN24/ARE617.DOCX")</f>
      </c>
      <c r="Q447" s="6">
        <f>HYPERLINK("https://docs.wto.org/imrd/directdoc.asp?DDFDocuments/v/G/TBTN24/ARE617.DOCX", "https://docs.wto.org/imrd/directdoc.asp?DDFDocuments/v/G/TBTN24/ARE617.DOCX")</f>
      </c>
    </row>
    <row r="448">
      <c r="A448" s="6" t="s">
        <v>372</v>
      </c>
      <c r="B448" s="7">
        <v>45518</v>
      </c>
      <c r="C448" s="6">
        <f>HYPERLINK("https://eping.wto.org/en/Search?viewData= G/TBT/N/ARE/350/Add.1, G/TBT/N/BHR/464/Add.1, G/TBT/N/KWT/346/Add.1, G/TBT/N/OMN/286/Add.1, G/TBT/N/QAT/460/Add.1, G/TBT/N/SAU/966/Add.1, G/TBT/N/YEM/66/Add.1"," G/TBT/N/ARE/350/Add.1, G/TBT/N/BHR/464/Add.1, G/TBT/N/KWT/346/Add.1, G/TBT/N/OMN/286/Add.1, G/TBT/N/QAT/460/Add.1, G/TBT/N/SAU/966/Add.1, G/TBT/N/YEM/66/Add.1")</f>
      </c>
      <c r="D448" s="8" t="s">
        <v>1978</v>
      </c>
      <c r="E448" s="8" t="s">
        <v>1979</v>
      </c>
      <c r="F448" s="8" t="s">
        <v>1980</v>
      </c>
      <c r="G448" s="6" t="s">
        <v>40</v>
      </c>
      <c r="H448" s="6" t="s">
        <v>1981</v>
      </c>
      <c r="I448" s="6" t="s">
        <v>147</v>
      </c>
      <c r="J448" s="6" t="s">
        <v>122</v>
      </c>
      <c r="K448" s="6"/>
      <c r="L448" s="7" t="s">
        <v>40</v>
      </c>
      <c r="M448" s="6" t="s">
        <v>76</v>
      </c>
      <c r="N448" s="8" t="s">
        <v>1982</v>
      </c>
      <c r="O448" s="6">
        <f>HYPERLINK("https://docs.wto.org/imrd/directdoc.asp?DDFDocuments/t/G/TBTN17/ARE350A1.DOCX", "https://docs.wto.org/imrd/directdoc.asp?DDFDocuments/t/G/TBTN17/ARE350A1.DOCX")</f>
      </c>
      <c r="P448" s="6">
        <f>HYPERLINK("https://docs.wto.org/imrd/directdoc.asp?DDFDocuments/u/G/TBTN17/ARE350A1.DOCX", "https://docs.wto.org/imrd/directdoc.asp?DDFDocuments/u/G/TBTN17/ARE350A1.DOCX")</f>
      </c>
      <c r="Q448" s="6">
        <f>HYPERLINK("https://docs.wto.org/imrd/directdoc.asp?DDFDocuments/v/G/TBTN17/ARE350A1.DOCX", "https://docs.wto.org/imrd/directdoc.asp?DDFDocuments/v/G/TBTN17/ARE350A1.DOCX")</f>
      </c>
    </row>
    <row r="449">
      <c r="A449" s="6" t="s">
        <v>391</v>
      </c>
      <c r="B449" s="7">
        <v>45518</v>
      </c>
      <c r="C449" s="6">
        <f>HYPERLINK("https://eping.wto.org/en/Search?viewData= G/TBT/N/ARE/617, G/TBT/N/BHR/704, G/TBT/N/KWT/683, G/TBT/N/OMN/528, G/TBT/N/QAT/679, G/TBT/N/SAU/1347, G/TBT/N/YEM/285"," G/TBT/N/ARE/617, G/TBT/N/BHR/704, G/TBT/N/KWT/683, G/TBT/N/OMN/528, G/TBT/N/QAT/679, G/TBT/N/SAU/1347, G/TBT/N/YEM/285")</f>
      </c>
      <c r="D449" s="8" t="s">
        <v>1969</v>
      </c>
      <c r="E449" s="8" t="s">
        <v>1970</v>
      </c>
      <c r="F449" s="8" t="s">
        <v>1971</v>
      </c>
      <c r="G449" s="6" t="s">
        <v>40</v>
      </c>
      <c r="H449" s="6" t="s">
        <v>1972</v>
      </c>
      <c r="I449" s="6" t="s">
        <v>872</v>
      </c>
      <c r="J449" s="6" t="s">
        <v>24</v>
      </c>
      <c r="K449" s="6"/>
      <c r="L449" s="7">
        <v>45533</v>
      </c>
      <c r="M449" s="6" t="s">
        <v>25</v>
      </c>
      <c r="N449" s="8" t="s">
        <v>1973</v>
      </c>
      <c r="O449" s="6">
        <f>HYPERLINK("https://docs.wto.org/imrd/directdoc.asp?DDFDocuments/t/G/TBTN24/ARE617.DOCX", "https://docs.wto.org/imrd/directdoc.asp?DDFDocuments/t/G/TBTN24/ARE617.DOCX")</f>
      </c>
      <c r="P449" s="6">
        <f>HYPERLINK("https://docs.wto.org/imrd/directdoc.asp?DDFDocuments/u/G/TBTN24/ARE617.DOCX", "https://docs.wto.org/imrd/directdoc.asp?DDFDocuments/u/G/TBTN24/ARE617.DOCX")</f>
      </c>
      <c r="Q449" s="6">
        <f>HYPERLINK("https://docs.wto.org/imrd/directdoc.asp?DDFDocuments/v/G/TBTN24/ARE617.DOCX", "https://docs.wto.org/imrd/directdoc.asp?DDFDocuments/v/G/TBTN24/ARE617.DOCX")</f>
      </c>
    </row>
    <row r="450">
      <c r="A450" s="6" t="s">
        <v>160</v>
      </c>
      <c r="B450" s="7">
        <v>45518</v>
      </c>
      <c r="C450" s="6">
        <f>HYPERLINK("https://eping.wto.org/en/Search?viewData= G/SPS/N/USA/3469"," G/SPS/N/USA/3469")</f>
      </c>
      <c r="D450" s="8" t="s">
        <v>1992</v>
      </c>
      <c r="E450" s="8" t="s">
        <v>1993</v>
      </c>
      <c r="F450" s="8" t="s">
        <v>1994</v>
      </c>
      <c r="G450" s="6" t="s">
        <v>40</v>
      </c>
      <c r="H450" s="6" t="s">
        <v>40</v>
      </c>
      <c r="I450" s="6" t="s">
        <v>38</v>
      </c>
      <c r="J450" s="6" t="s">
        <v>641</v>
      </c>
      <c r="K450" s="6"/>
      <c r="L450" s="7" t="s">
        <v>40</v>
      </c>
      <c r="M450" s="6" t="s">
        <v>25</v>
      </c>
      <c r="N450" s="8" t="s">
        <v>1995</v>
      </c>
      <c r="O450" s="6">
        <f>HYPERLINK("https://docs.wto.org/imrd/directdoc.asp?DDFDocuments/t/G/SPS/NUSA3469.DOCX", "https://docs.wto.org/imrd/directdoc.asp?DDFDocuments/t/G/SPS/NUSA3469.DOCX")</f>
      </c>
      <c r="P450" s="6">
        <f>HYPERLINK("https://docs.wto.org/imrd/directdoc.asp?DDFDocuments/u/G/SPS/NUSA3469.DOCX", "https://docs.wto.org/imrd/directdoc.asp?DDFDocuments/u/G/SPS/NUSA3469.DOCX")</f>
      </c>
      <c r="Q450" s="6">
        <f>HYPERLINK("https://docs.wto.org/imrd/directdoc.asp?DDFDocuments/v/G/SPS/NUSA3469.DOCX", "https://docs.wto.org/imrd/directdoc.asp?DDFDocuments/v/G/SPS/NUSA3469.DOCX")</f>
      </c>
    </row>
    <row r="451">
      <c r="A451" s="6" t="s">
        <v>393</v>
      </c>
      <c r="B451" s="7">
        <v>45518</v>
      </c>
      <c r="C451" s="6">
        <f>HYPERLINK("https://eping.wto.org/en/Search?viewData= G/TBT/N/ARE/350/Add.1, G/TBT/N/BHR/464/Add.1, G/TBT/N/KWT/346/Add.1, G/TBT/N/OMN/286/Add.1, G/TBT/N/QAT/460/Add.1, G/TBT/N/SAU/966/Add.1, G/TBT/N/YEM/66/Add.1"," G/TBT/N/ARE/350/Add.1, G/TBT/N/BHR/464/Add.1, G/TBT/N/KWT/346/Add.1, G/TBT/N/OMN/286/Add.1, G/TBT/N/QAT/460/Add.1, G/TBT/N/SAU/966/Add.1, G/TBT/N/YEM/66/Add.1")</f>
      </c>
      <c r="D451" s="8" t="s">
        <v>1978</v>
      </c>
      <c r="E451" s="8" t="s">
        <v>1979</v>
      </c>
      <c r="F451" s="8" t="s">
        <v>1980</v>
      </c>
      <c r="G451" s="6" t="s">
        <v>40</v>
      </c>
      <c r="H451" s="6" t="s">
        <v>1981</v>
      </c>
      <c r="I451" s="6" t="s">
        <v>147</v>
      </c>
      <c r="J451" s="6" t="s">
        <v>122</v>
      </c>
      <c r="K451" s="6"/>
      <c r="L451" s="7" t="s">
        <v>40</v>
      </c>
      <c r="M451" s="6" t="s">
        <v>76</v>
      </c>
      <c r="N451" s="8" t="s">
        <v>1982</v>
      </c>
      <c r="O451" s="6">
        <f>HYPERLINK("https://docs.wto.org/imrd/directdoc.asp?DDFDocuments/t/G/TBTN17/ARE350A1.DOCX", "https://docs.wto.org/imrd/directdoc.asp?DDFDocuments/t/G/TBTN17/ARE350A1.DOCX")</f>
      </c>
      <c r="P451" s="6">
        <f>HYPERLINK("https://docs.wto.org/imrd/directdoc.asp?DDFDocuments/u/G/TBTN17/ARE350A1.DOCX", "https://docs.wto.org/imrd/directdoc.asp?DDFDocuments/u/G/TBTN17/ARE350A1.DOCX")</f>
      </c>
      <c r="Q451" s="6">
        <f>HYPERLINK("https://docs.wto.org/imrd/directdoc.asp?DDFDocuments/v/G/TBTN17/ARE350A1.DOCX", "https://docs.wto.org/imrd/directdoc.asp?DDFDocuments/v/G/TBTN17/ARE350A1.DOCX")</f>
      </c>
    </row>
    <row r="452">
      <c r="A452" s="6" t="s">
        <v>160</v>
      </c>
      <c r="B452" s="7">
        <v>45518</v>
      </c>
      <c r="C452" s="6">
        <f>HYPERLINK("https://eping.wto.org/en/Search?viewData= G/SPS/N/USA/3465"," G/SPS/N/USA/3465")</f>
      </c>
      <c r="D452" s="8" t="s">
        <v>1996</v>
      </c>
      <c r="E452" s="8" t="s">
        <v>1997</v>
      </c>
      <c r="F452" s="8" t="s">
        <v>1998</v>
      </c>
      <c r="G452" s="6" t="s">
        <v>40</v>
      </c>
      <c r="H452" s="6" t="s">
        <v>40</v>
      </c>
      <c r="I452" s="6" t="s">
        <v>38</v>
      </c>
      <c r="J452" s="6" t="s">
        <v>60</v>
      </c>
      <c r="K452" s="6"/>
      <c r="L452" s="7">
        <v>45551</v>
      </c>
      <c r="M452" s="6" t="s">
        <v>25</v>
      </c>
      <c r="N452" s="8" t="s">
        <v>1999</v>
      </c>
      <c r="O452" s="6">
        <f>HYPERLINK("https://docs.wto.org/imrd/directdoc.asp?DDFDocuments/t/G/SPS/NUSA3465.DOCX", "https://docs.wto.org/imrd/directdoc.asp?DDFDocuments/t/G/SPS/NUSA3465.DOCX")</f>
      </c>
      <c r="P452" s="6">
        <f>HYPERLINK("https://docs.wto.org/imrd/directdoc.asp?DDFDocuments/u/G/SPS/NUSA3465.DOCX", "https://docs.wto.org/imrd/directdoc.asp?DDFDocuments/u/G/SPS/NUSA3465.DOCX")</f>
      </c>
      <c r="Q452" s="6">
        <f>HYPERLINK("https://docs.wto.org/imrd/directdoc.asp?DDFDocuments/v/G/SPS/NUSA3465.DOCX", "https://docs.wto.org/imrd/directdoc.asp?DDFDocuments/v/G/SPS/NUSA3465.DOCX")</f>
      </c>
    </row>
    <row r="453">
      <c r="A453" s="6" t="s">
        <v>322</v>
      </c>
      <c r="B453" s="7">
        <v>45518</v>
      </c>
      <c r="C453" s="6">
        <f>HYPERLINK("https://eping.wto.org/en/Search?viewData= G/SPS/N/TPKM/630"," G/SPS/N/TPKM/630")</f>
      </c>
      <c r="D453" s="8" t="s">
        <v>2000</v>
      </c>
      <c r="E453" s="8" t="s">
        <v>2001</v>
      </c>
      <c r="F453" s="8" t="s">
        <v>2002</v>
      </c>
      <c r="G453" s="6" t="s">
        <v>40</v>
      </c>
      <c r="H453" s="6" t="s">
        <v>40</v>
      </c>
      <c r="I453" s="6" t="s">
        <v>38</v>
      </c>
      <c r="J453" s="6" t="s">
        <v>60</v>
      </c>
      <c r="K453" s="6" t="s">
        <v>40</v>
      </c>
      <c r="L453" s="7">
        <v>45578</v>
      </c>
      <c r="M453" s="6" t="s">
        <v>25</v>
      </c>
      <c r="N453" s="8" t="s">
        <v>2003</v>
      </c>
      <c r="O453" s="6">
        <f>HYPERLINK("https://docs.wto.org/imrd/directdoc.asp?DDFDocuments/t/G/SPS/NTPKM630.DOCX", "https://docs.wto.org/imrd/directdoc.asp?DDFDocuments/t/G/SPS/NTPKM630.DOCX")</f>
      </c>
      <c r="P453" s="6">
        <f>HYPERLINK("https://docs.wto.org/imrd/directdoc.asp?DDFDocuments/u/G/SPS/NTPKM630.DOCX", "https://docs.wto.org/imrd/directdoc.asp?DDFDocuments/u/G/SPS/NTPKM630.DOCX")</f>
      </c>
      <c r="Q453" s="6">
        <f>HYPERLINK("https://docs.wto.org/imrd/directdoc.asp?DDFDocuments/v/G/SPS/NTPKM630.DOCX", "https://docs.wto.org/imrd/directdoc.asp?DDFDocuments/v/G/SPS/NTPKM630.DOCX")</f>
      </c>
    </row>
    <row r="454">
      <c r="A454" s="6" t="s">
        <v>115</v>
      </c>
      <c r="B454" s="7">
        <v>45518</v>
      </c>
      <c r="C454" s="6">
        <f>HYPERLINK("https://eping.wto.org/en/Search?viewData= G/TBT/N/BRA/907/Add.15"," G/TBT/N/BRA/907/Add.15")</f>
      </c>
      <c r="D454" s="8" t="s">
        <v>2004</v>
      </c>
      <c r="E454" s="8" t="s">
        <v>2005</v>
      </c>
      <c r="F454" s="8" t="s">
        <v>2006</v>
      </c>
      <c r="G454" s="6" t="s">
        <v>40</v>
      </c>
      <c r="H454" s="6" t="s">
        <v>40</v>
      </c>
      <c r="I454" s="6" t="s">
        <v>245</v>
      </c>
      <c r="J454" s="6" t="s">
        <v>40</v>
      </c>
      <c r="K454" s="6"/>
      <c r="L454" s="7">
        <v>45575</v>
      </c>
      <c r="M454" s="6" t="s">
        <v>76</v>
      </c>
      <c r="N454" s="8" t="s">
        <v>2007</v>
      </c>
      <c r="O454" s="6">
        <f>HYPERLINK("https://docs.wto.org/imrd/directdoc.asp?DDFDocuments/t/G/TBTN19/BRA907A15.DOCX", "https://docs.wto.org/imrd/directdoc.asp?DDFDocuments/t/G/TBTN19/BRA907A15.DOCX")</f>
      </c>
      <c r="P454" s="6">
        <f>HYPERLINK("https://docs.wto.org/imrd/directdoc.asp?DDFDocuments/u/G/TBTN19/BRA907A15.DOCX", "https://docs.wto.org/imrd/directdoc.asp?DDFDocuments/u/G/TBTN19/BRA907A15.DOCX")</f>
      </c>
      <c r="Q454" s="6">
        <f>HYPERLINK("https://docs.wto.org/imrd/directdoc.asp?DDFDocuments/v/G/TBTN19/BRA907A15.DOCX", "https://docs.wto.org/imrd/directdoc.asp?DDFDocuments/v/G/TBTN19/BRA907A15.DOCX")</f>
      </c>
    </row>
    <row r="455">
      <c r="A455" s="6" t="s">
        <v>331</v>
      </c>
      <c r="B455" s="7">
        <v>45518</v>
      </c>
      <c r="C455" s="6">
        <f>HYPERLINK("https://eping.wto.org/en/Search?viewData= G/TBT/N/ARE/617, G/TBT/N/BHR/704, G/TBT/N/KWT/683, G/TBT/N/OMN/528, G/TBT/N/QAT/679, G/TBT/N/SAU/1347, G/TBT/N/YEM/285"," G/TBT/N/ARE/617, G/TBT/N/BHR/704, G/TBT/N/KWT/683, G/TBT/N/OMN/528, G/TBT/N/QAT/679, G/TBT/N/SAU/1347, G/TBT/N/YEM/285")</f>
      </c>
      <c r="D455" s="8" t="s">
        <v>1969</v>
      </c>
      <c r="E455" s="8" t="s">
        <v>1970</v>
      </c>
      <c r="F455" s="8" t="s">
        <v>1971</v>
      </c>
      <c r="G455" s="6" t="s">
        <v>40</v>
      </c>
      <c r="H455" s="6" t="s">
        <v>1972</v>
      </c>
      <c r="I455" s="6" t="s">
        <v>872</v>
      </c>
      <c r="J455" s="6" t="s">
        <v>24</v>
      </c>
      <c r="K455" s="6"/>
      <c r="L455" s="7">
        <v>45533</v>
      </c>
      <c r="M455" s="6" t="s">
        <v>25</v>
      </c>
      <c r="N455" s="8" t="s">
        <v>1973</v>
      </c>
      <c r="O455" s="6">
        <f>HYPERLINK("https://docs.wto.org/imrd/directdoc.asp?DDFDocuments/t/G/TBTN24/ARE617.DOCX", "https://docs.wto.org/imrd/directdoc.asp?DDFDocuments/t/G/TBTN24/ARE617.DOCX")</f>
      </c>
      <c r="P455" s="6">
        <f>HYPERLINK("https://docs.wto.org/imrd/directdoc.asp?DDFDocuments/u/G/TBTN24/ARE617.DOCX", "https://docs.wto.org/imrd/directdoc.asp?DDFDocuments/u/G/TBTN24/ARE617.DOCX")</f>
      </c>
      <c r="Q455" s="6">
        <f>HYPERLINK("https://docs.wto.org/imrd/directdoc.asp?DDFDocuments/v/G/TBTN24/ARE617.DOCX", "https://docs.wto.org/imrd/directdoc.asp?DDFDocuments/v/G/TBTN24/ARE617.DOCX")</f>
      </c>
    </row>
    <row r="456">
      <c r="A456" s="6" t="s">
        <v>160</v>
      </c>
      <c r="B456" s="7">
        <v>45518</v>
      </c>
      <c r="C456" s="6">
        <f>HYPERLINK("https://eping.wto.org/en/Search?viewData= G/TBT/N/USA/2137"," G/TBT/N/USA/2137")</f>
      </c>
      <c r="D456" s="8" t="s">
        <v>2008</v>
      </c>
      <c r="E456" s="8" t="s">
        <v>2009</v>
      </c>
      <c r="F456" s="8" t="s">
        <v>2010</v>
      </c>
      <c r="G456" s="6" t="s">
        <v>40</v>
      </c>
      <c r="H456" s="6" t="s">
        <v>2011</v>
      </c>
      <c r="I456" s="6" t="s">
        <v>572</v>
      </c>
      <c r="J456" s="6" t="s">
        <v>40</v>
      </c>
      <c r="K456" s="6"/>
      <c r="L456" s="7">
        <v>45580</v>
      </c>
      <c r="M456" s="6" t="s">
        <v>25</v>
      </c>
      <c r="N456" s="8" t="s">
        <v>2012</v>
      </c>
      <c r="O456" s="6">
        <f>HYPERLINK("https://docs.wto.org/imrd/directdoc.asp?DDFDocuments/t/G/TBTN24/USA2137.DOCX", "https://docs.wto.org/imrd/directdoc.asp?DDFDocuments/t/G/TBTN24/USA2137.DOCX")</f>
      </c>
      <c r="P456" s="6">
        <f>HYPERLINK("https://docs.wto.org/imrd/directdoc.asp?DDFDocuments/u/G/TBTN24/USA2137.DOCX", "https://docs.wto.org/imrd/directdoc.asp?DDFDocuments/u/G/TBTN24/USA2137.DOCX")</f>
      </c>
      <c r="Q456" s="6">
        <f>HYPERLINK("https://docs.wto.org/imrd/directdoc.asp?DDFDocuments/v/G/TBTN24/USA2137.DOCX", "https://docs.wto.org/imrd/directdoc.asp?DDFDocuments/v/G/TBTN24/USA2137.DOCX")</f>
      </c>
    </row>
    <row r="457">
      <c r="A457" s="6" t="s">
        <v>343</v>
      </c>
      <c r="B457" s="7">
        <v>45518</v>
      </c>
      <c r="C457" s="6">
        <f>HYPERLINK("https://eping.wto.org/en/Search?viewData= G/TBT/N/ARE/350/Add.1, G/TBT/N/BHR/464/Add.1, G/TBT/N/KWT/346/Add.1, G/TBT/N/OMN/286/Add.1, G/TBT/N/QAT/460/Add.1, G/TBT/N/SAU/966/Add.1, G/TBT/N/YEM/66/Add.1"," G/TBT/N/ARE/350/Add.1, G/TBT/N/BHR/464/Add.1, G/TBT/N/KWT/346/Add.1, G/TBT/N/OMN/286/Add.1, G/TBT/N/QAT/460/Add.1, G/TBT/N/SAU/966/Add.1, G/TBT/N/YEM/66/Add.1")</f>
      </c>
      <c r="D457" s="8" t="s">
        <v>1978</v>
      </c>
      <c r="E457" s="8" t="s">
        <v>1979</v>
      </c>
      <c r="F457" s="8" t="s">
        <v>1980</v>
      </c>
      <c r="G457" s="6" t="s">
        <v>40</v>
      </c>
      <c r="H457" s="6" t="s">
        <v>1981</v>
      </c>
      <c r="I457" s="6" t="s">
        <v>147</v>
      </c>
      <c r="J457" s="6" t="s">
        <v>122</v>
      </c>
      <c r="K457" s="6"/>
      <c r="L457" s="7" t="s">
        <v>40</v>
      </c>
      <c r="M457" s="6" t="s">
        <v>76</v>
      </c>
      <c r="N457" s="8" t="s">
        <v>1982</v>
      </c>
      <c r="O457" s="6">
        <f>HYPERLINK("https://docs.wto.org/imrd/directdoc.asp?DDFDocuments/t/G/TBTN17/ARE350A1.DOCX", "https://docs.wto.org/imrd/directdoc.asp?DDFDocuments/t/G/TBTN17/ARE350A1.DOCX")</f>
      </c>
      <c r="P457" s="6">
        <f>HYPERLINK("https://docs.wto.org/imrd/directdoc.asp?DDFDocuments/u/G/TBTN17/ARE350A1.DOCX", "https://docs.wto.org/imrd/directdoc.asp?DDFDocuments/u/G/TBTN17/ARE350A1.DOCX")</f>
      </c>
      <c r="Q457" s="6">
        <f>HYPERLINK("https://docs.wto.org/imrd/directdoc.asp?DDFDocuments/v/G/TBTN17/ARE350A1.DOCX", "https://docs.wto.org/imrd/directdoc.asp?DDFDocuments/v/G/TBTN17/ARE350A1.DOCX")</f>
      </c>
    </row>
    <row r="458">
      <c r="A458" s="6" t="s">
        <v>1688</v>
      </c>
      <c r="B458" s="7">
        <v>45518</v>
      </c>
      <c r="C458" s="6">
        <f>HYPERLINK("https://eping.wto.org/en/Search?viewData= G/TBT/N/THA/749"," G/TBT/N/THA/749")</f>
      </c>
      <c r="D458" s="8" t="s">
        <v>2013</v>
      </c>
      <c r="E458" s="8" t="s">
        <v>2014</v>
      </c>
      <c r="F458" s="8" t="s">
        <v>2015</v>
      </c>
      <c r="G458" s="6" t="s">
        <v>40</v>
      </c>
      <c r="H458" s="6" t="s">
        <v>2016</v>
      </c>
      <c r="I458" s="6" t="s">
        <v>147</v>
      </c>
      <c r="J458" s="6" t="s">
        <v>40</v>
      </c>
      <c r="K458" s="6"/>
      <c r="L458" s="7">
        <v>45578</v>
      </c>
      <c r="M458" s="6" t="s">
        <v>25</v>
      </c>
      <c r="N458" s="8" t="s">
        <v>2017</v>
      </c>
      <c r="O458" s="6">
        <f>HYPERLINK("https://docs.wto.org/imrd/directdoc.asp?DDFDocuments/t/G/TBTN24/THA749.DOCX", "https://docs.wto.org/imrd/directdoc.asp?DDFDocuments/t/G/TBTN24/THA749.DOCX")</f>
      </c>
      <c r="P458" s="6">
        <f>HYPERLINK("https://docs.wto.org/imrd/directdoc.asp?DDFDocuments/u/G/TBTN24/THA749.DOCX", "https://docs.wto.org/imrd/directdoc.asp?DDFDocuments/u/G/TBTN24/THA749.DOCX")</f>
      </c>
      <c r="Q458" s="6">
        <f>HYPERLINK("https://docs.wto.org/imrd/directdoc.asp?DDFDocuments/v/G/TBTN24/THA749.DOCX", "https://docs.wto.org/imrd/directdoc.asp?DDFDocuments/v/G/TBTN24/THA749.DOCX")</f>
      </c>
    </row>
    <row r="459">
      <c r="A459" s="6" t="s">
        <v>17</v>
      </c>
      <c r="B459" s="7">
        <v>45517</v>
      </c>
      <c r="C459" s="6">
        <f>HYPERLINK("https://eping.wto.org/en/Search?viewData= G/SPS/N/BDI/117, G/SPS/N/KEN/296, G/SPS/N/RWA/110, G/SPS/N/TZA/375, G/SPS/N/UGA/368"," G/SPS/N/BDI/117, G/SPS/N/KEN/296, G/SPS/N/RWA/110, G/SPS/N/TZA/375, G/SPS/N/UGA/368")</f>
      </c>
      <c r="D459" s="8" t="s">
        <v>2018</v>
      </c>
      <c r="E459" s="8" t="s">
        <v>2019</v>
      </c>
      <c r="F459" s="8" t="s">
        <v>2020</v>
      </c>
      <c r="G459" s="6" t="s">
        <v>2021</v>
      </c>
      <c r="H459" s="6" t="s">
        <v>2022</v>
      </c>
      <c r="I459" s="6" t="s">
        <v>38</v>
      </c>
      <c r="J459" s="6" t="s">
        <v>39</v>
      </c>
      <c r="K459" s="6" t="s">
        <v>40</v>
      </c>
      <c r="L459" s="7">
        <v>45577</v>
      </c>
      <c r="M459" s="6" t="s">
        <v>25</v>
      </c>
      <c r="N459" s="8" t="s">
        <v>2023</v>
      </c>
      <c r="O459" s="6">
        <f>HYPERLINK("https://docs.wto.org/imrd/directdoc.asp?DDFDocuments/t/G/SPS/NBDI117.DOCX", "https://docs.wto.org/imrd/directdoc.asp?DDFDocuments/t/G/SPS/NBDI117.DOCX")</f>
      </c>
      <c r="P459" s="6">
        <f>HYPERLINK("https://docs.wto.org/imrd/directdoc.asp?DDFDocuments/u/G/SPS/NBDI117.DOCX", "https://docs.wto.org/imrd/directdoc.asp?DDFDocuments/u/G/SPS/NBDI117.DOCX")</f>
      </c>
      <c r="Q459" s="6">
        <f>HYPERLINK("https://docs.wto.org/imrd/directdoc.asp?DDFDocuments/v/G/SPS/NBDI117.DOCX", "https://docs.wto.org/imrd/directdoc.asp?DDFDocuments/v/G/SPS/NBDI117.DOCX")</f>
      </c>
    </row>
    <row r="460">
      <c r="A460" s="6" t="s">
        <v>2024</v>
      </c>
      <c r="B460" s="7">
        <v>45517</v>
      </c>
      <c r="C460" s="6">
        <f>HYPERLINK("https://eping.wto.org/en/Search?viewData= G/SPS/N/BDI/118, G/SPS/N/KEN/297, G/SPS/N/RWA/111, G/SPS/N/TZA/376, G/SPS/N/UGA/369"," G/SPS/N/BDI/118, G/SPS/N/KEN/297, G/SPS/N/RWA/111, G/SPS/N/TZA/376, G/SPS/N/UGA/369")</f>
      </c>
      <c r="D460" s="8" t="s">
        <v>2025</v>
      </c>
      <c r="E460" s="8" t="s">
        <v>2026</v>
      </c>
      <c r="F460" s="8" t="s">
        <v>2027</v>
      </c>
      <c r="G460" s="6" t="s">
        <v>2028</v>
      </c>
      <c r="H460" s="6" t="s">
        <v>2022</v>
      </c>
      <c r="I460" s="6" t="s">
        <v>38</v>
      </c>
      <c r="J460" s="6" t="s">
        <v>39</v>
      </c>
      <c r="K460" s="6" t="s">
        <v>40</v>
      </c>
      <c r="L460" s="7">
        <v>45577</v>
      </c>
      <c r="M460" s="6" t="s">
        <v>25</v>
      </c>
      <c r="N460" s="8" t="s">
        <v>2029</v>
      </c>
      <c r="O460" s="6">
        <f>HYPERLINK("https://docs.wto.org/imrd/directdoc.asp?DDFDocuments/t/G/SPS/NBDI118.DOCX", "https://docs.wto.org/imrd/directdoc.asp?DDFDocuments/t/G/SPS/NBDI118.DOCX")</f>
      </c>
      <c r="P460" s="6">
        <f>HYPERLINK("https://docs.wto.org/imrd/directdoc.asp?DDFDocuments/u/G/SPS/NBDI118.DOCX", "https://docs.wto.org/imrd/directdoc.asp?DDFDocuments/u/G/SPS/NBDI118.DOCX")</f>
      </c>
      <c r="Q460" s="6">
        <f>HYPERLINK("https://docs.wto.org/imrd/directdoc.asp?DDFDocuments/v/G/SPS/NBDI118.DOCX", "https://docs.wto.org/imrd/directdoc.asp?DDFDocuments/v/G/SPS/NBDI118.DOCX")</f>
      </c>
    </row>
    <row r="461">
      <c r="A461" s="6" t="s">
        <v>2030</v>
      </c>
      <c r="B461" s="7">
        <v>45517</v>
      </c>
      <c r="C461" s="6">
        <f>HYPERLINK("https://eping.wto.org/en/Search?viewData= G/SPS/N/BDI/116, G/SPS/N/KEN/295, G/SPS/N/RWA/109, G/SPS/N/TZA/374, G/SPS/N/UGA/367"," G/SPS/N/BDI/116, G/SPS/N/KEN/295, G/SPS/N/RWA/109, G/SPS/N/TZA/374, G/SPS/N/UGA/367")</f>
      </c>
      <c r="D461" s="8" t="s">
        <v>2031</v>
      </c>
      <c r="E461" s="8" t="s">
        <v>2032</v>
      </c>
      <c r="F461" s="8" t="s">
        <v>2033</v>
      </c>
      <c r="G461" s="6" t="s">
        <v>2034</v>
      </c>
      <c r="H461" s="6" t="s">
        <v>2022</v>
      </c>
      <c r="I461" s="6" t="s">
        <v>38</v>
      </c>
      <c r="J461" s="6" t="s">
        <v>39</v>
      </c>
      <c r="K461" s="6" t="s">
        <v>40</v>
      </c>
      <c r="L461" s="7">
        <v>45577</v>
      </c>
      <c r="M461" s="6" t="s">
        <v>25</v>
      </c>
      <c r="N461" s="8" t="s">
        <v>2035</v>
      </c>
      <c r="O461" s="6">
        <f>HYPERLINK("https://docs.wto.org/imrd/directdoc.asp?DDFDocuments/t/G/SPS/NBDI116.DOCX", "https://docs.wto.org/imrd/directdoc.asp?DDFDocuments/t/G/SPS/NBDI116.DOCX")</f>
      </c>
      <c r="P461" s="6">
        <f>HYPERLINK("https://docs.wto.org/imrd/directdoc.asp?DDFDocuments/u/G/SPS/NBDI116.DOCX", "https://docs.wto.org/imrd/directdoc.asp?DDFDocuments/u/G/SPS/NBDI116.DOCX")</f>
      </c>
      <c r="Q461" s="6">
        <f>HYPERLINK("https://docs.wto.org/imrd/directdoc.asp?DDFDocuments/v/G/SPS/NBDI116.DOCX", "https://docs.wto.org/imrd/directdoc.asp?DDFDocuments/v/G/SPS/NBDI116.DOCX")</f>
      </c>
    </row>
    <row r="462">
      <c r="A462" s="6" t="s">
        <v>2024</v>
      </c>
      <c r="B462" s="7">
        <v>45517</v>
      </c>
      <c r="C462" s="6">
        <f>HYPERLINK("https://eping.wto.org/en/Search?viewData= G/TBT/N/BDI/495, G/TBT/N/KEN/1655, G/TBT/N/RWA/1044, G/TBT/N/TZA/1158, G/TBT/N/UGA/1995"," G/TBT/N/BDI/495, G/TBT/N/KEN/1655, G/TBT/N/RWA/1044, G/TBT/N/TZA/1158, G/TBT/N/UGA/1995")</f>
      </c>
      <c r="D462" s="8" t="s">
        <v>2036</v>
      </c>
      <c r="E462" s="8" t="s">
        <v>2037</v>
      </c>
      <c r="F462" s="8" t="s">
        <v>2038</v>
      </c>
      <c r="G462" s="6" t="s">
        <v>2039</v>
      </c>
      <c r="H462" s="6" t="s">
        <v>2022</v>
      </c>
      <c r="I462" s="6" t="s">
        <v>886</v>
      </c>
      <c r="J462" s="6" t="s">
        <v>24</v>
      </c>
      <c r="K462" s="6"/>
      <c r="L462" s="7">
        <v>45577</v>
      </c>
      <c r="M462" s="6" t="s">
        <v>25</v>
      </c>
      <c r="N462" s="8" t="s">
        <v>2040</v>
      </c>
      <c r="O462" s="6">
        <f>HYPERLINK("https://docs.wto.org/imrd/directdoc.asp?DDFDocuments/t/G/TBTN24/BDI495.DOCX", "https://docs.wto.org/imrd/directdoc.asp?DDFDocuments/t/G/TBTN24/BDI495.DOCX")</f>
      </c>
      <c r="P462" s="6">
        <f>HYPERLINK("https://docs.wto.org/imrd/directdoc.asp?DDFDocuments/u/G/TBTN24/BDI495.DOCX", "https://docs.wto.org/imrd/directdoc.asp?DDFDocuments/u/G/TBTN24/BDI495.DOCX")</f>
      </c>
      <c r="Q462" s="6">
        <f>HYPERLINK("https://docs.wto.org/imrd/directdoc.asp?DDFDocuments/v/G/TBTN24/BDI495.DOCX", "https://docs.wto.org/imrd/directdoc.asp?DDFDocuments/v/G/TBTN24/BDI495.DOCX")</f>
      </c>
    </row>
    <row r="463">
      <c r="A463" s="6" t="s">
        <v>2041</v>
      </c>
      <c r="B463" s="7">
        <v>45517</v>
      </c>
      <c r="C463" s="6">
        <f>HYPERLINK("https://eping.wto.org/en/Search?viewData= G/SPS/N/BDI/114, G/SPS/N/KEN/293, G/SPS/N/RWA/107, G/SPS/N/TZA/372, G/SPS/N/UGA/365"," G/SPS/N/BDI/114, G/SPS/N/KEN/293, G/SPS/N/RWA/107, G/SPS/N/TZA/372, G/SPS/N/UGA/365")</f>
      </c>
      <c r="D463" s="8" t="s">
        <v>2042</v>
      </c>
      <c r="E463" s="8" t="s">
        <v>2043</v>
      </c>
      <c r="F463" s="8" t="s">
        <v>2020</v>
      </c>
      <c r="G463" s="6" t="s">
        <v>2021</v>
      </c>
      <c r="H463" s="6" t="s">
        <v>2022</v>
      </c>
      <c r="I463" s="6" t="s">
        <v>38</v>
      </c>
      <c r="J463" s="6" t="s">
        <v>39</v>
      </c>
      <c r="K463" s="6" t="s">
        <v>40</v>
      </c>
      <c r="L463" s="7">
        <v>45577</v>
      </c>
      <c r="M463" s="6" t="s">
        <v>25</v>
      </c>
      <c r="N463" s="8" t="s">
        <v>2044</v>
      </c>
      <c r="O463" s="6">
        <f>HYPERLINK("https://docs.wto.org/imrd/directdoc.asp?DDFDocuments/t/G/SPS/NBDI114.DOCX", "https://docs.wto.org/imrd/directdoc.asp?DDFDocuments/t/G/SPS/NBDI114.DOCX")</f>
      </c>
      <c r="P463" s="6">
        <f>HYPERLINK("https://docs.wto.org/imrd/directdoc.asp?DDFDocuments/u/G/SPS/NBDI114.DOCX", "https://docs.wto.org/imrd/directdoc.asp?DDFDocuments/u/G/SPS/NBDI114.DOCX")</f>
      </c>
      <c r="Q463" s="6">
        <f>HYPERLINK("https://docs.wto.org/imrd/directdoc.asp?DDFDocuments/v/G/SPS/NBDI114.DOCX", "https://docs.wto.org/imrd/directdoc.asp?DDFDocuments/v/G/SPS/NBDI114.DOCX")</f>
      </c>
    </row>
    <row r="464">
      <c r="A464" s="6" t="s">
        <v>2030</v>
      </c>
      <c r="B464" s="7">
        <v>45517</v>
      </c>
      <c r="C464" s="6">
        <f>HYPERLINK("https://eping.wto.org/en/Search?viewData= G/TBT/N/BDI/493, G/TBT/N/KEN/1653, G/TBT/N/RWA/1042, G/TBT/N/TZA/1156, G/TBT/N/UGA/1993"," G/TBT/N/BDI/493, G/TBT/N/KEN/1653, G/TBT/N/RWA/1042, G/TBT/N/TZA/1156, G/TBT/N/UGA/1993")</f>
      </c>
      <c r="D464" s="8" t="s">
        <v>2045</v>
      </c>
      <c r="E464" s="8" t="s">
        <v>2046</v>
      </c>
      <c r="F464" s="8" t="s">
        <v>2020</v>
      </c>
      <c r="G464" s="6" t="s">
        <v>2021</v>
      </c>
      <c r="H464" s="6" t="s">
        <v>2022</v>
      </c>
      <c r="I464" s="6" t="s">
        <v>886</v>
      </c>
      <c r="J464" s="6" t="s">
        <v>24</v>
      </c>
      <c r="K464" s="6"/>
      <c r="L464" s="7">
        <v>45577</v>
      </c>
      <c r="M464" s="6" t="s">
        <v>25</v>
      </c>
      <c r="N464" s="8" t="s">
        <v>2047</v>
      </c>
      <c r="O464" s="6">
        <f>HYPERLINK("https://docs.wto.org/imrd/directdoc.asp?DDFDocuments/t/G/TBTN24/BDI493.DOCX", "https://docs.wto.org/imrd/directdoc.asp?DDFDocuments/t/G/TBTN24/BDI493.DOCX")</f>
      </c>
      <c r="P464" s="6">
        <f>HYPERLINK("https://docs.wto.org/imrd/directdoc.asp?DDFDocuments/u/G/TBTN24/BDI493.DOCX", "https://docs.wto.org/imrd/directdoc.asp?DDFDocuments/u/G/TBTN24/BDI493.DOCX")</f>
      </c>
      <c r="Q464" s="6">
        <f>HYPERLINK("https://docs.wto.org/imrd/directdoc.asp?DDFDocuments/v/G/TBTN24/BDI493.DOCX", "https://docs.wto.org/imrd/directdoc.asp?DDFDocuments/v/G/TBTN24/BDI493.DOCX")</f>
      </c>
    </row>
    <row r="465">
      <c r="A465" s="6" t="s">
        <v>2030</v>
      </c>
      <c r="B465" s="7">
        <v>45517</v>
      </c>
      <c r="C465" s="6">
        <f>HYPERLINK("https://eping.wto.org/en/Search?viewData= G/TBT/N/UGA/1984"," G/TBT/N/UGA/1984")</f>
      </c>
      <c r="D465" s="8" t="s">
        <v>2048</v>
      </c>
      <c r="E465" s="8" t="s">
        <v>2049</v>
      </c>
      <c r="F465" s="8" t="s">
        <v>2050</v>
      </c>
      <c r="G465" s="6" t="s">
        <v>767</v>
      </c>
      <c r="H465" s="6" t="s">
        <v>22</v>
      </c>
      <c r="I465" s="6" t="s">
        <v>81</v>
      </c>
      <c r="J465" s="6" t="s">
        <v>24</v>
      </c>
      <c r="K465" s="6"/>
      <c r="L465" s="7">
        <v>45577</v>
      </c>
      <c r="M465" s="6" t="s">
        <v>25</v>
      </c>
      <c r="N465" s="8" t="s">
        <v>2051</v>
      </c>
      <c r="O465" s="6">
        <f>HYPERLINK("https://docs.wto.org/imrd/directdoc.asp?DDFDocuments/t/G/TBTN24/UGA1984.DOCX", "https://docs.wto.org/imrd/directdoc.asp?DDFDocuments/t/G/TBTN24/UGA1984.DOCX")</f>
      </c>
      <c r="P465" s="6">
        <f>HYPERLINK("https://docs.wto.org/imrd/directdoc.asp?DDFDocuments/u/G/TBTN24/UGA1984.DOCX", "https://docs.wto.org/imrd/directdoc.asp?DDFDocuments/u/G/TBTN24/UGA1984.DOCX")</f>
      </c>
      <c r="Q465" s="6">
        <f>HYPERLINK("https://docs.wto.org/imrd/directdoc.asp?DDFDocuments/v/G/TBTN24/UGA1984.DOCX", "https://docs.wto.org/imrd/directdoc.asp?DDFDocuments/v/G/TBTN24/UGA1984.DOCX")</f>
      </c>
    </row>
    <row r="466">
      <c r="A466" s="6" t="s">
        <v>2030</v>
      </c>
      <c r="B466" s="7">
        <v>45517</v>
      </c>
      <c r="C466" s="6">
        <f>HYPERLINK("https://eping.wto.org/en/Search?viewData= G/TBT/N/UGA/1983"," G/TBT/N/UGA/1983")</f>
      </c>
      <c r="D466" s="8" t="s">
        <v>2052</v>
      </c>
      <c r="E466" s="8" t="s">
        <v>2053</v>
      </c>
      <c r="F466" s="8" t="s">
        <v>2054</v>
      </c>
      <c r="G466" s="6" t="s">
        <v>2055</v>
      </c>
      <c r="H466" s="6" t="s">
        <v>22</v>
      </c>
      <c r="I466" s="6" t="s">
        <v>81</v>
      </c>
      <c r="J466" s="6" t="s">
        <v>24</v>
      </c>
      <c r="K466" s="6"/>
      <c r="L466" s="7">
        <v>45577</v>
      </c>
      <c r="M466" s="6" t="s">
        <v>25</v>
      </c>
      <c r="N466" s="8" t="s">
        <v>2056</v>
      </c>
      <c r="O466" s="6">
        <f>HYPERLINK("https://docs.wto.org/imrd/directdoc.asp?DDFDocuments/t/G/TBTN24/UGA1983.DOCX", "https://docs.wto.org/imrd/directdoc.asp?DDFDocuments/t/G/TBTN24/UGA1983.DOCX")</f>
      </c>
      <c r="P466" s="6">
        <f>HYPERLINK("https://docs.wto.org/imrd/directdoc.asp?DDFDocuments/u/G/TBTN24/UGA1983.DOCX", "https://docs.wto.org/imrd/directdoc.asp?DDFDocuments/u/G/TBTN24/UGA1983.DOCX")</f>
      </c>
      <c r="Q466" s="6">
        <f>HYPERLINK("https://docs.wto.org/imrd/directdoc.asp?DDFDocuments/v/G/TBTN24/UGA1983.DOCX", "https://docs.wto.org/imrd/directdoc.asp?DDFDocuments/v/G/TBTN24/UGA1983.DOCX")</f>
      </c>
    </row>
    <row r="467">
      <c r="A467" s="6" t="s">
        <v>2030</v>
      </c>
      <c r="B467" s="7">
        <v>45517</v>
      </c>
      <c r="C467" s="6">
        <f>HYPERLINK("https://eping.wto.org/en/Search?viewData= G/TBT/N/UGA/1990"," G/TBT/N/UGA/1990")</f>
      </c>
      <c r="D467" s="8" t="s">
        <v>2057</v>
      </c>
      <c r="E467" s="8" t="s">
        <v>2058</v>
      </c>
      <c r="F467" s="8" t="s">
        <v>2059</v>
      </c>
      <c r="G467" s="6" t="s">
        <v>2060</v>
      </c>
      <c r="H467" s="6" t="s">
        <v>31</v>
      </c>
      <c r="I467" s="6" t="s">
        <v>81</v>
      </c>
      <c r="J467" s="6" t="s">
        <v>24</v>
      </c>
      <c r="K467" s="6"/>
      <c r="L467" s="7">
        <v>45577</v>
      </c>
      <c r="M467" s="6" t="s">
        <v>25</v>
      </c>
      <c r="N467" s="8" t="s">
        <v>2061</v>
      </c>
      <c r="O467" s="6">
        <f>HYPERLINK("https://docs.wto.org/imrd/directdoc.asp?DDFDocuments/t/G/TBTN24/UGA1990.DOCX", "https://docs.wto.org/imrd/directdoc.asp?DDFDocuments/t/G/TBTN24/UGA1990.DOCX")</f>
      </c>
      <c r="P467" s="6">
        <f>HYPERLINK("https://docs.wto.org/imrd/directdoc.asp?DDFDocuments/u/G/TBTN24/UGA1990.DOCX", "https://docs.wto.org/imrd/directdoc.asp?DDFDocuments/u/G/TBTN24/UGA1990.DOCX")</f>
      </c>
      <c r="Q467" s="6">
        <f>HYPERLINK("https://docs.wto.org/imrd/directdoc.asp?DDFDocuments/v/G/TBTN24/UGA1990.DOCX", "https://docs.wto.org/imrd/directdoc.asp?DDFDocuments/v/G/TBTN24/UGA1990.DOCX")</f>
      </c>
    </row>
    <row r="468">
      <c r="A468" s="6" t="s">
        <v>160</v>
      </c>
      <c r="B468" s="7">
        <v>45517</v>
      </c>
      <c r="C468" s="6">
        <f>HYPERLINK("https://eping.wto.org/en/Search?viewData= G/TBT/N/USA/1646/Add.4"," G/TBT/N/USA/1646/Add.4")</f>
      </c>
      <c r="D468" s="8" t="s">
        <v>2062</v>
      </c>
      <c r="E468" s="8" t="s">
        <v>2063</v>
      </c>
      <c r="F468" s="8" t="s">
        <v>2064</v>
      </c>
      <c r="G468" s="6" t="s">
        <v>40</v>
      </c>
      <c r="H468" s="6" t="s">
        <v>2065</v>
      </c>
      <c r="I468" s="6" t="s">
        <v>213</v>
      </c>
      <c r="J468" s="6" t="s">
        <v>40</v>
      </c>
      <c r="K468" s="6"/>
      <c r="L468" s="7" t="s">
        <v>40</v>
      </c>
      <c r="M468" s="6" t="s">
        <v>76</v>
      </c>
      <c r="N468" s="8" t="s">
        <v>2066</v>
      </c>
      <c r="O468" s="6">
        <f>HYPERLINK("https://docs.wto.org/imrd/directdoc.asp?DDFDocuments/t/G/TBTN20/USA1646A4.DOCX", "https://docs.wto.org/imrd/directdoc.asp?DDFDocuments/t/G/TBTN20/USA1646A4.DOCX")</f>
      </c>
      <c r="P468" s="6">
        <f>HYPERLINK("https://docs.wto.org/imrd/directdoc.asp?DDFDocuments/u/G/TBTN20/USA1646A4.DOCX", "https://docs.wto.org/imrd/directdoc.asp?DDFDocuments/u/G/TBTN20/USA1646A4.DOCX")</f>
      </c>
      <c r="Q468" s="6">
        <f>HYPERLINK("https://docs.wto.org/imrd/directdoc.asp?DDFDocuments/v/G/TBTN20/USA1646A4.DOCX", "https://docs.wto.org/imrd/directdoc.asp?DDFDocuments/v/G/TBTN20/USA1646A4.DOCX")</f>
      </c>
    </row>
    <row r="469">
      <c r="A469" s="6" t="s">
        <v>322</v>
      </c>
      <c r="B469" s="7">
        <v>45517</v>
      </c>
      <c r="C469" s="6">
        <f>HYPERLINK("https://eping.wto.org/en/Search?viewData= G/SPS/N/TPKM/628/Add.2"," G/SPS/N/TPKM/628/Add.2")</f>
      </c>
      <c r="D469" s="8" t="s">
        <v>2067</v>
      </c>
      <c r="E469" s="8" t="s">
        <v>2068</v>
      </c>
      <c r="F469" s="8" t="s">
        <v>2069</v>
      </c>
      <c r="G469" s="6" t="s">
        <v>40</v>
      </c>
      <c r="H469" s="6" t="s">
        <v>40</v>
      </c>
      <c r="I469" s="6" t="s">
        <v>184</v>
      </c>
      <c r="J469" s="6" t="s">
        <v>2070</v>
      </c>
      <c r="K469" s="6"/>
      <c r="L469" s="7">
        <v>45532</v>
      </c>
      <c r="M469" s="6" t="s">
        <v>76</v>
      </c>
      <c r="N469" s="8" t="s">
        <v>2071</v>
      </c>
      <c r="O469" s="6">
        <f>HYPERLINK("https://docs.wto.org/imrd/directdoc.asp?DDFDocuments/t/G/SPS/NTPKM628A2.DOCX", "https://docs.wto.org/imrd/directdoc.asp?DDFDocuments/t/G/SPS/NTPKM628A2.DOCX")</f>
      </c>
      <c r="P469" s="6">
        <f>HYPERLINK("https://docs.wto.org/imrd/directdoc.asp?DDFDocuments/u/G/SPS/NTPKM628A2.DOCX", "https://docs.wto.org/imrd/directdoc.asp?DDFDocuments/u/G/SPS/NTPKM628A2.DOCX")</f>
      </c>
      <c r="Q469" s="6">
        <f>HYPERLINK("https://docs.wto.org/imrd/directdoc.asp?DDFDocuments/v/G/SPS/NTPKM628A2.DOCX", "https://docs.wto.org/imrd/directdoc.asp?DDFDocuments/v/G/SPS/NTPKM628A2.DOCX")</f>
      </c>
    </row>
    <row r="470">
      <c r="A470" s="6" t="s">
        <v>2041</v>
      </c>
      <c r="B470" s="7">
        <v>45517</v>
      </c>
      <c r="C470" s="6">
        <f>HYPERLINK("https://eping.wto.org/en/Search?viewData= G/TBT/N/BDI/491, G/TBT/N/KEN/1651, G/TBT/N/RWA/1040, G/TBT/N/TZA/1154, G/TBT/N/UGA/1991"," G/TBT/N/BDI/491, G/TBT/N/KEN/1651, G/TBT/N/RWA/1040, G/TBT/N/TZA/1154, G/TBT/N/UGA/1991")</f>
      </c>
      <c r="D470" s="8" t="s">
        <v>2072</v>
      </c>
      <c r="E470" s="8" t="s">
        <v>2073</v>
      </c>
      <c r="F470" s="8" t="s">
        <v>2074</v>
      </c>
      <c r="G470" s="6" t="s">
        <v>2075</v>
      </c>
      <c r="H470" s="6" t="s">
        <v>2022</v>
      </c>
      <c r="I470" s="6" t="s">
        <v>886</v>
      </c>
      <c r="J470" s="6" t="s">
        <v>24</v>
      </c>
      <c r="K470" s="6"/>
      <c r="L470" s="7">
        <v>45577</v>
      </c>
      <c r="M470" s="6" t="s">
        <v>25</v>
      </c>
      <c r="N470" s="8" t="s">
        <v>2076</v>
      </c>
      <c r="O470" s="6">
        <f>HYPERLINK("https://docs.wto.org/imrd/directdoc.asp?DDFDocuments/t/G/TBTN24/BDI491.DOCX", "https://docs.wto.org/imrd/directdoc.asp?DDFDocuments/t/G/TBTN24/BDI491.DOCX")</f>
      </c>
      <c r="P470" s="6">
        <f>HYPERLINK("https://docs.wto.org/imrd/directdoc.asp?DDFDocuments/u/G/TBTN24/BDI491.DOCX", "https://docs.wto.org/imrd/directdoc.asp?DDFDocuments/u/G/TBTN24/BDI491.DOCX")</f>
      </c>
      <c r="Q470" s="6">
        <f>HYPERLINK("https://docs.wto.org/imrd/directdoc.asp?DDFDocuments/v/G/TBTN24/BDI491.DOCX", "https://docs.wto.org/imrd/directdoc.asp?DDFDocuments/v/G/TBTN24/BDI491.DOCX")</f>
      </c>
    </row>
    <row r="471">
      <c r="A471" s="6" t="s">
        <v>198</v>
      </c>
      <c r="B471" s="7">
        <v>45517</v>
      </c>
      <c r="C471" s="6">
        <f>HYPERLINK("https://eping.wto.org/en/Search?viewData= G/SPS/N/CHL/727/Rev.1"," G/SPS/N/CHL/727/Rev.1")</f>
      </c>
      <c r="D471" s="8" t="s">
        <v>2077</v>
      </c>
      <c r="E471" s="8" t="s">
        <v>2078</v>
      </c>
      <c r="F471" s="8" t="s">
        <v>456</v>
      </c>
      <c r="G471" s="6" t="s">
        <v>40</v>
      </c>
      <c r="H471" s="6" t="s">
        <v>40</v>
      </c>
      <c r="I471" s="6" t="s">
        <v>369</v>
      </c>
      <c r="J471" s="6" t="s">
        <v>690</v>
      </c>
      <c r="K471" s="6" t="s">
        <v>40</v>
      </c>
      <c r="L471" s="7">
        <v>45547</v>
      </c>
      <c r="M471" s="6" t="s">
        <v>214</v>
      </c>
      <c r="N471" s="8" t="s">
        <v>2079</v>
      </c>
      <c r="O471" s="6">
        <f>HYPERLINK("https://docs.wto.org/imrd/directdoc.asp?DDFDocuments/t/G/SPS/NCHL727R1.DOCX", "https://docs.wto.org/imrd/directdoc.asp?DDFDocuments/t/G/SPS/NCHL727R1.DOCX")</f>
      </c>
      <c r="P471" s="6">
        <f>HYPERLINK("https://docs.wto.org/imrd/directdoc.asp?DDFDocuments/u/G/SPS/NCHL727R1.DOCX", "https://docs.wto.org/imrd/directdoc.asp?DDFDocuments/u/G/SPS/NCHL727R1.DOCX")</f>
      </c>
      <c r="Q471" s="6">
        <f>HYPERLINK("https://docs.wto.org/imrd/directdoc.asp?DDFDocuments/v/G/SPS/NCHL727R1.DOCX", "https://docs.wto.org/imrd/directdoc.asp?DDFDocuments/v/G/SPS/NCHL727R1.DOCX")</f>
      </c>
    </row>
    <row r="472">
      <c r="A472" s="6" t="s">
        <v>2041</v>
      </c>
      <c r="B472" s="7">
        <v>45517</v>
      </c>
      <c r="C472" s="6">
        <f>HYPERLINK("https://eping.wto.org/en/Search?viewData= G/SPS/N/BDI/116, G/SPS/N/KEN/295, G/SPS/N/RWA/109, G/SPS/N/TZA/374, G/SPS/N/UGA/367"," G/SPS/N/BDI/116, G/SPS/N/KEN/295, G/SPS/N/RWA/109, G/SPS/N/TZA/374, G/SPS/N/UGA/367")</f>
      </c>
      <c r="D472" s="8" t="s">
        <v>2031</v>
      </c>
      <c r="E472" s="8" t="s">
        <v>2032</v>
      </c>
      <c r="F472" s="8" t="s">
        <v>2033</v>
      </c>
      <c r="G472" s="6" t="s">
        <v>2034</v>
      </c>
      <c r="H472" s="6" t="s">
        <v>2022</v>
      </c>
      <c r="I472" s="6" t="s">
        <v>38</v>
      </c>
      <c r="J472" s="6" t="s">
        <v>39</v>
      </c>
      <c r="K472" s="6" t="s">
        <v>40</v>
      </c>
      <c r="L472" s="7">
        <v>45577</v>
      </c>
      <c r="M472" s="6" t="s">
        <v>25</v>
      </c>
      <c r="N472" s="8" t="s">
        <v>2035</v>
      </c>
      <c r="O472" s="6">
        <f>HYPERLINK("https://docs.wto.org/imrd/directdoc.asp?DDFDocuments/t/G/SPS/NBDI116.DOCX", "https://docs.wto.org/imrd/directdoc.asp?DDFDocuments/t/G/SPS/NBDI116.DOCX")</f>
      </c>
      <c r="P472" s="6">
        <f>HYPERLINK("https://docs.wto.org/imrd/directdoc.asp?DDFDocuments/u/G/SPS/NBDI116.DOCX", "https://docs.wto.org/imrd/directdoc.asp?DDFDocuments/u/G/SPS/NBDI116.DOCX")</f>
      </c>
      <c r="Q472" s="6">
        <f>HYPERLINK("https://docs.wto.org/imrd/directdoc.asp?DDFDocuments/v/G/SPS/NBDI116.DOCX", "https://docs.wto.org/imrd/directdoc.asp?DDFDocuments/v/G/SPS/NBDI116.DOCX")</f>
      </c>
    </row>
    <row r="473">
      <c r="A473" s="6" t="s">
        <v>2030</v>
      </c>
      <c r="B473" s="7">
        <v>45517</v>
      </c>
      <c r="C473" s="6">
        <f>HYPERLINK("https://eping.wto.org/en/Search?viewData= G/TBT/N/UGA/1980"," G/TBT/N/UGA/1980")</f>
      </c>
      <c r="D473" s="8" t="s">
        <v>2080</v>
      </c>
      <c r="E473" s="8" t="s">
        <v>2081</v>
      </c>
      <c r="F473" s="8" t="s">
        <v>2082</v>
      </c>
      <c r="G473" s="6" t="s">
        <v>2083</v>
      </c>
      <c r="H473" s="6" t="s">
        <v>22</v>
      </c>
      <c r="I473" s="6" t="s">
        <v>81</v>
      </c>
      <c r="J473" s="6" t="s">
        <v>24</v>
      </c>
      <c r="K473" s="6"/>
      <c r="L473" s="7">
        <v>45577</v>
      </c>
      <c r="M473" s="6" t="s">
        <v>25</v>
      </c>
      <c r="N473" s="8" t="s">
        <v>2084</v>
      </c>
      <c r="O473" s="6">
        <f>HYPERLINK("https://docs.wto.org/imrd/directdoc.asp?DDFDocuments/t/G/TBTN24/UGA1980.DOCX", "https://docs.wto.org/imrd/directdoc.asp?DDFDocuments/t/G/TBTN24/UGA1980.DOCX")</f>
      </c>
      <c r="P473" s="6">
        <f>HYPERLINK("https://docs.wto.org/imrd/directdoc.asp?DDFDocuments/u/G/TBTN24/UGA1980.DOCX", "https://docs.wto.org/imrd/directdoc.asp?DDFDocuments/u/G/TBTN24/UGA1980.DOCX")</f>
      </c>
      <c r="Q473" s="6">
        <f>HYPERLINK("https://docs.wto.org/imrd/directdoc.asp?DDFDocuments/v/G/TBTN24/UGA1980.DOCX", "https://docs.wto.org/imrd/directdoc.asp?DDFDocuments/v/G/TBTN24/UGA1980.DOCX")</f>
      </c>
    </row>
    <row r="474">
      <c r="A474" s="6" t="s">
        <v>392</v>
      </c>
      <c r="B474" s="7">
        <v>45517</v>
      </c>
      <c r="C474" s="6">
        <f>HYPERLINK("https://eping.wto.org/en/Search?viewData= G/TBT/N/SAU/1345"," G/TBT/N/SAU/1345")</f>
      </c>
      <c r="D474" s="8" t="s">
        <v>2085</v>
      </c>
      <c r="E474" s="8" t="s">
        <v>2086</v>
      </c>
      <c r="F474" s="8" t="s">
        <v>2087</v>
      </c>
      <c r="G474" s="6" t="s">
        <v>40</v>
      </c>
      <c r="H474" s="6" t="s">
        <v>2088</v>
      </c>
      <c r="I474" s="6" t="s">
        <v>2089</v>
      </c>
      <c r="J474" s="6" t="s">
        <v>40</v>
      </c>
      <c r="K474" s="6"/>
      <c r="L474" s="7">
        <v>45577</v>
      </c>
      <c r="M474" s="6" t="s">
        <v>25</v>
      </c>
      <c r="N474" s="8" t="s">
        <v>2090</v>
      </c>
      <c r="O474" s="6">
        <f>HYPERLINK("https://docs.wto.org/imrd/directdoc.asp?DDFDocuments/t/G/TBTN24/SAU1345.DOCX", "https://docs.wto.org/imrd/directdoc.asp?DDFDocuments/t/G/TBTN24/SAU1345.DOCX")</f>
      </c>
      <c r="P474" s="6">
        <f>HYPERLINK("https://docs.wto.org/imrd/directdoc.asp?DDFDocuments/u/G/TBTN24/SAU1345.DOCX", "https://docs.wto.org/imrd/directdoc.asp?DDFDocuments/u/G/TBTN24/SAU1345.DOCX")</f>
      </c>
      <c r="Q474" s="6">
        <f>HYPERLINK("https://docs.wto.org/imrd/directdoc.asp?DDFDocuments/v/G/TBTN24/SAU1345.DOCX", "https://docs.wto.org/imrd/directdoc.asp?DDFDocuments/v/G/TBTN24/SAU1345.DOCX")</f>
      </c>
    </row>
    <row r="475">
      <c r="A475" s="6" t="s">
        <v>880</v>
      </c>
      <c r="B475" s="7">
        <v>45517</v>
      </c>
      <c r="C475" s="6">
        <f>HYPERLINK("https://eping.wto.org/en/Search?viewData= G/TBT/N/BDI/496, G/TBT/N/KEN/1656, G/TBT/N/RWA/1045, G/TBT/N/TZA/1159, G/TBT/N/UGA/1996"," G/TBT/N/BDI/496, G/TBT/N/KEN/1656, G/TBT/N/RWA/1045, G/TBT/N/TZA/1159, G/TBT/N/UGA/1996")</f>
      </c>
      <c r="D475" s="8" t="s">
        <v>2091</v>
      </c>
      <c r="E475" s="8" t="s">
        <v>2092</v>
      </c>
      <c r="F475" s="8" t="s">
        <v>2027</v>
      </c>
      <c r="G475" s="6" t="s">
        <v>2028</v>
      </c>
      <c r="H475" s="6" t="s">
        <v>2022</v>
      </c>
      <c r="I475" s="6" t="s">
        <v>886</v>
      </c>
      <c r="J475" s="6" t="s">
        <v>24</v>
      </c>
      <c r="K475" s="6"/>
      <c r="L475" s="7">
        <v>45577</v>
      </c>
      <c r="M475" s="6" t="s">
        <v>25</v>
      </c>
      <c r="N475" s="8" t="s">
        <v>2093</v>
      </c>
      <c r="O475" s="6">
        <f>HYPERLINK("https://docs.wto.org/imrd/directdoc.asp?DDFDocuments/t/G/TBTN24/BDI496.DOCX", "https://docs.wto.org/imrd/directdoc.asp?DDFDocuments/t/G/TBTN24/BDI496.DOCX")</f>
      </c>
      <c r="P475" s="6">
        <f>HYPERLINK("https://docs.wto.org/imrd/directdoc.asp?DDFDocuments/u/G/TBTN24/BDI496.DOCX", "https://docs.wto.org/imrd/directdoc.asp?DDFDocuments/u/G/TBTN24/BDI496.DOCX")</f>
      </c>
      <c r="Q475" s="6">
        <f>HYPERLINK("https://docs.wto.org/imrd/directdoc.asp?DDFDocuments/v/G/TBTN24/BDI496.DOCX", "https://docs.wto.org/imrd/directdoc.asp?DDFDocuments/v/G/TBTN24/BDI496.DOCX")</f>
      </c>
    </row>
    <row r="476">
      <c r="A476" s="6" t="s">
        <v>392</v>
      </c>
      <c r="B476" s="7">
        <v>45517</v>
      </c>
      <c r="C476" s="6">
        <f>HYPERLINK("https://eping.wto.org/en/Search?viewData= G/TBT/N/SAU/1344"," G/TBT/N/SAU/1344")</f>
      </c>
      <c r="D476" s="8" t="s">
        <v>2094</v>
      </c>
      <c r="E476" s="8" t="s">
        <v>2095</v>
      </c>
      <c r="F476" s="8" t="s">
        <v>2096</v>
      </c>
      <c r="G476" s="6" t="s">
        <v>40</v>
      </c>
      <c r="H476" s="6" t="s">
        <v>2088</v>
      </c>
      <c r="I476" s="6" t="s">
        <v>2089</v>
      </c>
      <c r="J476" s="6" t="s">
        <v>40</v>
      </c>
      <c r="K476" s="6"/>
      <c r="L476" s="7">
        <v>45577</v>
      </c>
      <c r="M476" s="6" t="s">
        <v>25</v>
      </c>
      <c r="N476" s="8" t="s">
        <v>2097</v>
      </c>
      <c r="O476" s="6">
        <f>HYPERLINK("https://docs.wto.org/imrd/directdoc.asp?DDFDocuments/t/G/TBTN24/SAU1344.DOCX", "https://docs.wto.org/imrd/directdoc.asp?DDFDocuments/t/G/TBTN24/SAU1344.DOCX")</f>
      </c>
      <c r="P476" s="6">
        <f>HYPERLINK("https://docs.wto.org/imrd/directdoc.asp?DDFDocuments/u/G/TBTN24/SAU1344.DOCX", "https://docs.wto.org/imrd/directdoc.asp?DDFDocuments/u/G/TBTN24/SAU1344.DOCX")</f>
      </c>
      <c r="Q476" s="6">
        <f>HYPERLINK("https://docs.wto.org/imrd/directdoc.asp?DDFDocuments/v/G/TBTN24/SAU1344.DOCX", "https://docs.wto.org/imrd/directdoc.asp?DDFDocuments/v/G/TBTN24/SAU1344.DOCX")</f>
      </c>
    </row>
    <row r="477">
      <c r="A477" s="6" t="s">
        <v>17</v>
      </c>
      <c r="B477" s="7">
        <v>45517</v>
      </c>
      <c r="C477" s="6">
        <f>HYPERLINK("https://eping.wto.org/en/Search?viewData= G/TBT/N/BDI/493, G/TBT/N/KEN/1653, G/TBT/N/RWA/1042, G/TBT/N/TZA/1156, G/TBT/N/UGA/1993"," G/TBT/N/BDI/493, G/TBT/N/KEN/1653, G/TBT/N/RWA/1042, G/TBT/N/TZA/1156, G/TBT/N/UGA/1993")</f>
      </c>
      <c r="D477" s="8" t="s">
        <v>2045</v>
      </c>
      <c r="E477" s="8" t="s">
        <v>2046</v>
      </c>
      <c r="F477" s="8" t="s">
        <v>2020</v>
      </c>
      <c r="G477" s="6" t="s">
        <v>2021</v>
      </c>
      <c r="H477" s="6" t="s">
        <v>2022</v>
      </c>
      <c r="I477" s="6" t="s">
        <v>886</v>
      </c>
      <c r="J477" s="6" t="s">
        <v>24</v>
      </c>
      <c r="K477" s="6"/>
      <c r="L477" s="7">
        <v>45577</v>
      </c>
      <c r="M477" s="6" t="s">
        <v>25</v>
      </c>
      <c r="N477" s="8" t="s">
        <v>2047</v>
      </c>
      <c r="O477" s="6">
        <f>HYPERLINK("https://docs.wto.org/imrd/directdoc.asp?DDFDocuments/t/G/TBTN24/BDI493.DOCX", "https://docs.wto.org/imrd/directdoc.asp?DDFDocuments/t/G/TBTN24/BDI493.DOCX")</f>
      </c>
      <c r="P477" s="6">
        <f>HYPERLINK("https://docs.wto.org/imrd/directdoc.asp?DDFDocuments/u/G/TBTN24/BDI493.DOCX", "https://docs.wto.org/imrd/directdoc.asp?DDFDocuments/u/G/TBTN24/BDI493.DOCX")</f>
      </c>
      <c r="Q477" s="6">
        <f>HYPERLINK("https://docs.wto.org/imrd/directdoc.asp?DDFDocuments/v/G/TBTN24/BDI493.DOCX", "https://docs.wto.org/imrd/directdoc.asp?DDFDocuments/v/G/TBTN24/BDI493.DOCX")</f>
      </c>
    </row>
    <row r="478">
      <c r="A478" s="6" t="s">
        <v>2024</v>
      </c>
      <c r="B478" s="7">
        <v>45517</v>
      </c>
      <c r="C478" s="6">
        <f>HYPERLINK("https://eping.wto.org/en/Search?viewData= G/TBT/N/BDI/494, G/TBT/N/KEN/1654, G/TBT/N/RWA/1043, G/TBT/N/TZA/1157, G/TBT/N/UGA/1994"," G/TBT/N/BDI/494, G/TBT/N/KEN/1654, G/TBT/N/RWA/1043, G/TBT/N/TZA/1157, G/TBT/N/UGA/1994")</f>
      </c>
      <c r="D478" s="8" t="s">
        <v>2098</v>
      </c>
      <c r="E478" s="8" t="s">
        <v>2099</v>
      </c>
      <c r="F478" s="8" t="s">
        <v>2100</v>
      </c>
      <c r="G478" s="6" t="s">
        <v>2101</v>
      </c>
      <c r="H478" s="6" t="s">
        <v>2022</v>
      </c>
      <c r="I478" s="6" t="s">
        <v>2102</v>
      </c>
      <c r="J478" s="6" t="s">
        <v>24</v>
      </c>
      <c r="K478" s="6"/>
      <c r="L478" s="7">
        <v>45577</v>
      </c>
      <c r="M478" s="6" t="s">
        <v>25</v>
      </c>
      <c r="N478" s="8" t="s">
        <v>2103</v>
      </c>
      <c r="O478" s="6">
        <f>HYPERLINK("https://docs.wto.org/imrd/directdoc.asp?DDFDocuments/t/G/TBTN24/BDI494.DOCX", "https://docs.wto.org/imrd/directdoc.asp?DDFDocuments/t/G/TBTN24/BDI494.DOCX")</f>
      </c>
      <c r="P478" s="6">
        <f>HYPERLINK("https://docs.wto.org/imrd/directdoc.asp?DDFDocuments/u/G/TBTN24/BDI494.DOCX", "https://docs.wto.org/imrd/directdoc.asp?DDFDocuments/u/G/TBTN24/BDI494.DOCX")</f>
      </c>
      <c r="Q478" s="6">
        <f>HYPERLINK("https://docs.wto.org/imrd/directdoc.asp?DDFDocuments/v/G/TBTN24/BDI494.DOCX", "https://docs.wto.org/imrd/directdoc.asp?DDFDocuments/v/G/TBTN24/BDI494.DOCX")</f>
      </c>
    </row>
    <row r="479">
      <c r="A479" s="6" t="s">
        <v>17</v>
      </c>
      <c r="B479" s="7">
        <v>45517</v>
      </c>
      <c r="C479" s="6">
        <f>HYPERLINK("https://eping.wto.org/en/Search?viewData= G/SPS/N/BDI/119, G/SPS/N/KEN/298, G/SPS/N/RWA/112, G/SPS/N/TZA/377, G/SPS/N/UGA/370"," G/SPS/N/BDI/119, G/SPS/N/KEN/298, G/SPS/N/RWA/112, G/SPS/N/TZA/377, G/SPS/N/UGA/370")</f>
      </c>
      <c r="D479" s="8" t="s">
        <v>2104</v>
      </c>
      <c r="E479" s="8" t="s">
        <v>2105</v>
      </c>
      <c r="F479" s="8" t="s">
        <v>2106</v>
      </c>
      <c r="G479" s="6" t="s">
        <v>2039</v>
      </c>
      <c r="H479" s="6" t="s">
        <v>2022</v>
      </c>
      <c r="I479" s="6" t="s">
        <v>38</v>
      </c>
      <c r="J479" s="6" t="s">
        <v>39</v>
      </c>
      <c r="K479" s="6" t="s">
        <v>40</v>
      </c>
      <c r="L479" s="7">
        <v>45577</v>
      </c>
      <c r="M479" s="6" t="s">
        <v>25</v>
      </c>
      <c r="N479" s="8" t="s">
        <v>2107</v>
      </c>
      <c r="O479" s="6">
        <f>HYPERLINK("https://docs.wto.org/imrd/directdoc.asp?DDFDocuments/t/G/SPS/NBDI119.DOCX", "https://docs.wto.org/imrd/directdoc.asp?DDFDocuments/t/G/SPS/NBDI119.DOCX")</f>
      </c>
      <c r="P479" s="6">
        <f>HYPERLINK("https://docs.wto.org/imrd/directdoc.asp?DDFDocuments/u/G/SPS/NBDI119.DOCX", "https://docs.wto.org/imrd/directdoc.asp?DDFDocuments/u/G/SPS/NBDI119.DOCX")</f>
      </c>
      <c r="Q479" s="6">
        <f>HYPERLINK("https://docs.wto.org/imrd/directdoc.asp?DDFDocuments/v/G/SPS/NBDI119.DOCX", "https://docs.wto.org/imrd/directdoc.asp?DDFDocuments/v/G/SPS/NBDI119.DOCX")</f>
      </c>
    </row>
    <row r="480">
      <c r="A480" s="6" t="s">
        <v>17</v>
      </c>
      <c r="B480" s="7">
        <v>45517</v>
      </c>
      <c r="C480" s="6">
        <f>HYPERLINK("https://eping.wto.org/en/Search?viewData= G/SPS/N/BDI/115, G/SPS/N/KEN/294, G/SPS/N/RWA/108, G/SPS/N/TZA/373, G/SPS/N/UGA/366"," G/SPS/N/BDI/115, G/SPS/N/KEN/294, G/SPS/N/RWA/108, G/SPS/N/TZA/373, G/SPS/N/UGA/366")</f>
      </c>
      <c r="D480" s="8" t="s">
        <v>2108</v>
      </c>
      <c r="E480" s="8" t="s">
        <v>2109</v>
      </c>
      <c r="F480" s="8" t="s">
        <v>2074</v>
      </c>
      <c r="G480" s="6" t="s">
        <v>2075</v>
      </c>
      <c r="H480" s="6" t="s">
        <v>2022</v>
      </c>
      <c r="I480" s="6" t="s">
        <v>38</v>
      </c>
      <c r="J480" s="6" t="s">
        <v>39</v>
      </c>
      <c r="K480" s="6" t="s">
        <v>40</v>
      </c>
      <c r="L480" s="7">
        <v>45577</v>
      </c>
      <c r="M480" s="6" t="s">
        <v>25</v>
      </c>
      <c r="N480" s="8" t="s">
        <v>2110</v>
      </c>
      <c r="O480" s="6">
        <f>HYPERLINK("https://docs.wto.org/imrd/directdoc.asp?DDFDocuments/t/G/SPS/NBDI115.DOCX", "https://docs.wto.org/imrd/directdoc.asp?DDFDocuments/t/G/SPS/NBDI115.DOCX")</f>
      </c>
      <c r="P480" s="6">
        <f>HYPERLINK("https://docs.wto.org/imrd/directdoc.asp?DDFDocuments/u/G/SPS/NBDI115.DOCX", "https://docs.wto.org/imrd/directdoc.asp?DDFDocuments/u/G/SPS/NBDI115.DOCX")</f>
      </c>
      <c r="Q480" s="6">
        <f>HYPERLINK("https://docs.wto.org/imrd/directdoc.asp?DDFDocuments/v/G/SPS/NBDI115.DOCX", "https://docs.wto.org/imrd/directdoc.asp?DDFDocuments/v/G/SPS/NBDI115.DOCX")</f>
      </c>
    </row>
    <row r="481">
      <c r="A481" s="6" t="s">
        <v>160</v>
      </c>
      <c r="B481" s="7">
        <v>45517</v>
      </c>
      <c r="C481" s="6">
        <f>HYPERLINK("https://eping.wto.org/en/Search?viewData= G/TBT/N/USA/2041/Add.5"," G/TBT/N/USA/2041/Add.5")</f>
      </c>
      <c r="D481" s="8" t="s">
        <v>2111</v>
      </c>
      <c r="E481" s="8" t="s">
        <v>2112</v>
      </c>
      <c r="F481" s="8" t="s">
        <v>2113</v>
      </c>
      <c r="G481" s="6" t="s">
        <v>40</v>
      </c>
      <c r="H481" s="6" t="s">
        <v>2114</v>
      </c>
      <c r="I481" s="6" t="s">
        <v>337</v>
      </c>
      <c r="J481" s="6" t="s">
        <v>148</v>
      </c>
      <c r="K481" s="6"/>
      <c r="L481" s="7" t="s">
        <v>40</v>
      </c>
      <c r="M481" s="6" t="s">
        <v>76</v>
      </c>
      <c r="N481" s="8" t="s">
        <v>2115</v>
      </c>
      <c r="O481" s="6">
        <f>HYPERLINK("https://docs.wto.org/imrd/directdoc.asp?DDFDocuments/t/G/TBTN23/USA2041A5.DOCX", "https://docs.wto.org/imrd/directdoc.asp?DDFDocuments/t/G/TBTN23/USA2041A5.DOCX")</f>
      </c>
      <c r="P481" s="6">
        <f>HYPERLINK("https://docs.wto.org/imrd/directdoc.asp?DDFDocuments/u/G/TBTN23/USA2041A5.DOCX", "https://docs.wto.org/imrd/directdoc.asp?DDFDocuments/u/G/TBTN23/USA2041A5.DOCX")</f>
      </c>
      <c r="Q481" s="6">
        <f>HYPERLINK("https://docs.wto.org/imrd/directdoc.asp?DDFDocuments/v/G/TBTN23/USA2041A5.DOCX", "https://docs.wto.org/imrd/directdoc.asp?DDFDocuments/v/G/TBTN23/USA2041A5.DOCX")</f>
      </c>
    </row>
    <row r="482">
      <c r="A482" s="6" t="s">
        <v>2030</v>
      </c>
      <c r="B482" s="7">
        <v>45517</v>
      </c>
      <c r="C482" s="6">
        <f>HYPERLINK("https://eping.wto.org/en/Search?viewData= G/TBT/N/BDI/491, G/TBT/N/KEN/1651, G/TBT/N/RWA/1040, G/TBT/N/TZA/1154, G/TBT/N/UGA/1991"," G/TBT/N/BDI/491, G/TBT/N/KEN/1651, G/TBT/N/RWA/1040, G/TBT/N/TZA/1154, G/TBT/N/UGA/1991")</f>
      </c>
      <c r="D482" s="8" t="s">
        <v>2072</v>
      </c>
      <c r="E482" s="8" t="s">
        <v>2073</v>
      </c>
      <c r="F482" s="8" t="s">
        <v>2074</v>
      </c>
      <c r="G482" s="6" t="s">
        <v>2075</v>
      </c>
      <c r="H482" s="6" t="s">
        <v>2022</v>
      </c>
      <c r="I482" s="6" t="s">
        <v>886</v>
      </c>
      <c r="J482" s="6" t="s">
        <v>24</v>
      </c>
      <c r="K482" s="6"/>
      <c r="L482" s="7">
        <v>45577</v>
      </c>
      <c r="M482" s="6" t="s">
        <v>25</v>
      </c>
      <c r="N482" s="8" t="s">
        <v>2076</v>
      </c>
      <c r="O482" s="6">
        <f>HYPERLINK("https://docs.wto.org/imrd/directdoc.asp?DDFDocuments/t/G/TBTN24/BDI491.DOCX", "https://docs.wto.org/imrd/directdoc.asp?DDFDocuments/t/G/TBTN24/BDI491.DOCX")</f>
      </c>
      <c r="P482" s="6">
        <f>HYPERLINK("https://docs.wto.org/imrd/directdoc.asp?DDFDocuments/u/G/TBTN24/BDI491.DOCX", "https://docs.wto.org/imrd/directdoc.asp?DDFDocuments/u/G/TBTN24/BDI491.DOCX")</f>
      </c>
      <c r="Q482" s="6">
        <f>HYPERLINK("https://docs.wto.org/imrd/directdoc.asp?DDFDocuments/v/G/TBTN24/BDI491.DOCX", "https://docs.wto.org/imrd/directdoc.asp?DDFDocuments/v/G/TBTN24/BDI491.DOCX")</f>
      </c>
    </row>
    <row r="483">
      <c r="A483" s="6" t="s">
        <v>2041</v>
      </c>
      <c r="B483" s="7">
        <v>45517</v>
      </c>
      <c r="C483" s="6">
        <f>HYPERLINK("https://eping.wto.org/en/Search?viewData= G/TBT/N/BDI/494, G/TBT/N/KEN/1654, G/TBT/N/RWA/1043, G/TBT/N/TZA/1157, G/TBT/N/UGA/1994"," G/TBT/N/BDI/494, G/TBT/N/KEN/1654, G/TBT/N/RWA/1043, G/TBT/N/TZA/1157, G/TBT/N/UGA/1994")</f>
      </c>
      <c r="D483" s="8" t="s">
        <v>2098</v>
      </c>
      <c r="E483" s="8" t="s">
        <v>2099</v>
      </c>
      <c r="F483" s="8" t="s">
        <v>2100</v>
      </c>
      <c r="G483" s="6" t="s">
        <v>2021</v>
      </c>
      <c r="H483" s="6" t="s">
        <v>2022</v>
      </c>
      <c r="I483" s="6" t="s">
        <v>2102</v>
      </c>
      <c r="J483" s="6" t="s">
        <v>24</v>
      </c>
      <c r="K483" s="6"/>
      <c r="L483" s="7">
        <v>45577</v>
      </c>
      <c r="M483" s="6" t="s">
        <v>25</v>
      </c>
      <c r="N483" s="8" t="s">
        <v>2103</v>
      </c>
      <c r="O483" s="6">
        <f>HYPERLINK("https://docs.wto.org/imrd/directdoc.asp?DDFDocuments/t/G/TBTN24/BDI494.DOCX", "https://docs.wto.org/imrd/directdoc.asp?DDFDocuments/t/G/TBTN24/BDI494.DOCX")</f>
      </c>
      <c r="P483" s="6">
        <f>HYPERLINK("https://docs.wto.org/imrd/directdoc.asp?DDFDocuments/u/G/TBTN24/BDI494.DOCX", "https://docs.wto.org/imrd/directdoc.asp?DDFDocuments/u/G/TBTN24/BDI494.DOCX")</f>
      </c>
      <c r="Q483" s="6">
        <f>HYPERLINK("https://docs.wto.org/imrd/directdoc.asp?DDFDocuments/v/G/TBTN24/BDI494.DOCX", "https://docs.wto.org/imrd/directdoc.asp?DDFDocuments/v/G/TBTN24/BDI494.DOCX")</f>
      </c>
    </row>
    <row r="484">
      <c r="A484" s="6" t="s">
        <v>880</v>
      </c>
      <c r="B484" s="7">
        <v>45517</v>
      </c>
      <c r="C484" s="6">
        <f>HYPERLINK("https://eping.wto.org/en/Search?viewData= G/SPS/N/BDI/118, G/SPS/N/KEN/297, G/SPS/N/RWA/111, G/SPS/N/TZA/376, G/SPS/N/UGA/369"," G/SPS/N/BDI/118, G/SPS/N/KEN/297, G/SPS/N/RWA/111, G/SPS/N/TZA/376, G/SPS/N/UGA/369")</f>
      </c>
      <c r="D484" s="8" t="s">
        <v>2025</v>
      </c>
      <c r="E484" s="8" t="s">
        <v>2026</v>
      </c>
      <c r="F484" s="8" t="s">
        <v>2027</v>
      </c>
      <c r="G484" s="6" t="s">
        <v>2028</v>
      </c>
      <c r="H484" s="6" t="s">
        <v>2022</v>
      </c>
      <c r="I484" s="6" t="s">
        <v>38</v>
      </c>
      <c r="J484" s="6" t="s">
        <v>60</v>
      </c>
      <c r="K484" s="6" t="s">
        <v>40</v>
      </c>
      <c r="L484" s="7">
        <v>45577</v>
      </c>
      <c r="M484" s="6" t="s">
        <v>25</v>
      </c>
      <c r="N484" s="8" t="s">
        <v>2029</v>
      </c>
      <c r="O484" s="6">
        <f>HYPERLINK("https://docs.wto.org/imrd/directdoc.asp?DDFDocuments/t/G/SPS/NBDI118.DOCX", "https://docs.wto.org/imrd/directdoc.asp?DDFDocuments/t/G/SPS/NBDI118.DOCX")</f>
      </c>
      <c r="P484" s="6">
        <f>HYPERLINK("https://docs.wto.org/imrd/directdoc.asp?DDFDocuments/u/G/SPS/NBDI118.DOCX", "https://docs.wto.org/imrd/directdoc.asp?DDFDocuments/u/G/SPS/NBDI118.DOCX")</f>
      </c>
      <c r="Q484" s="6">
        <f>HYPERLINK("https://docs.wto.org/imrd/directdoc.asp?DDFDocuments/v/G/SPS/NBDI118.DOCX", "https://docs.wto.org/imrd/directdoc.asp?DDFDocuments/v/G/SPS/NBDI118.DOCX")</f>
      </c>
    </row>
    <row r="485">
      <c r="A485" s="6" t="s">
        <v>17</v>
      </c>
      <c r="B485" s="7">
        <v>45517</v>
      </c>
      <c r="C485" s="6">
        <f>HYPERLINK("https://eping.wto.org/en/Search?viewData= G/TBT/N/KEN/1645"," G/TBT/N/KEN/1645")</f>
      </c>
      <c r="D485" s="8" t="s">
        <v>2116</v>
      </c>
      <c r="E485" s="8" t="s">
        <v>2117</v>
      </c>
      <c r="F485" s="8" t="s">
        <v>2118</v>
      </c>
      <c r="G485" s="6" t="s">
        <v>2119</v>
      </c>
      <c r="H485" s="6" t="s">
        <v>2120</v>
      </c>
      <c r="I485" s="6" t="s">
        <v>2121</v>
      </c>
      <c r="J485" s="6" t="s">
        <v>40</v>
      </c>
      <c r="K485" s="6"/>
      <c r="L485" s="7">
        <v>45577</v>
      </c>
      <c r="M485" s="6" t="s">
        <v>25</v>
      </c>
      <c r="N485" s="8" t="s">
        <v>2122</v>
      </c>
      <c r="O485" s="6">
        <f>HYPERLINK("https://docs.wto.org/imrd/directdoc.asp?DDFDocuments/t/G/TBTN24/KEN1645.DOCX", "https://docs.wto.org/imrd/directdoc.asp?DDFDocuments/t/G/TBTN24/KEN1645.DOCX")</f>
      </c>
      <c r="P485" s="6">
        <f>HYPERLINK("https://docs.wto.org/imrd/directdoc.asp?DDFDocuments/u/G/TBTN24/KEN1645.DOCX", "https://docs.wto.org/imrd/directdoc.asp?DDFDocuments/u/G/TBTN24/KEN1645.DOCX")</f>
      </c>
      <c r="Q485" s="6">
        <f>HYPERLINK("https://docs.wto.org/imrd/directdoc.asp?DDFDocuments/v/G/TBTN24/KEN1645.DOCX", "https://docs.wto.org/imrd/directdoc.asp?DDFDocuments/v/G/TBTN24/KEN1645.DOCX")</f>
      </c>
    </row>
    <row r="486">
      <c r="A486" s="6" t="s">
        <v>2030</v>
      </c>
      <c r="B486" s="7">
        <v>45517</v>
      </c>
      <c r="C486" s="6">
        <f>HYPERLINK("https://eping.wto.org/en/Search?viewData= G/TBT/N/UGA/1989"," G/TBT/N/UGA/1989")</f>
      </c>
      <c r="D486" s="8" t="s">
        <v>2123</v>
      </c>
      <c r="E486" s="8" t="s">
        <v>2124</v>
      </c>
      <c r="F486" s="8" t="s">
        <v>2125</v>
      </c>
      <c r="G486" s="6" t="s">
        <v>2126</v>
      </c>
      <c r="H486" s="6" t="s">
        <v>1972</v>
      </c>
      <c r="I486" s="6" t="s">
        <v>81</v>
      </c>
      <c r="J486" s="6" t="s">
        <v>24</v>
      </c>
      <c r="K486" s="6"/>
      <c r="L486" s="7">
        <v>45577</v>
      </c>
      <c r="M486" s="6" t="s">
        <v>25</v>
      </c>
      <c r="N486" s="8" t="s">
        <v>2127</v>
      </c>
      <c r="O486" s="6">
        <f>HYPERLINK("https://docs.wto.org/imrd/directdoc.asp?DDFDocuments/t/G/TBTN24/UGA1989.DOCX", "https://docs.wto.org/imrd/directdoc.asp?DDFDocuments/t/G/TBTN24/UGA1989.DOCX")</f>
      </c>
      <c r="P486" s="6">
        <f>HYPERLINK("https://docs.wto.org/imrd/directdoc.asp?DDFDocuments/u/G/TBTN24/UGA1989.DOCX", "https://docs.wto.org/imrd/directdoc.asp?DDFDocuments/u/G/TBTN24/UGA1989.DOCX")</f>
      </c>
      <c r="Q486" s="6">
        <f>HYPERLINK("https://docs.wto.org/imrd/directdoc.asp?DDFDocuments/v/G/TBTN24/UGA1989.DOCX", "https://docs.wto.org/imrd/directdoc.asp?DDFDocuments/v/G/TBTN24/UGA1989.DOCX")</f>
      </c>
    </row>
    <row r="487">
      <c r="A487" s="6" t="s">
        <v>2030</v>
      </c>
      <c r="B487" s="7">
        <v>45517</v>
      </c>
      <c r="C487" s="6">
        <f>HYPERLINK("https://eping.wto.org/en/Search?viewData= G/TBT/N/UGA/1988"," G/TBT/N/UGA/1988")</f>
      </c>
      <c r="D487" s="8" t="s">
        <v>2128</v>
      </c>
      <c r="E487" s="8" t="s">
        <v>2129</v>
      </c>
      <c r="F487" s="8" t="s">
        <v>2130</v>
      </c>
      <c r="G487" s="6" t="s">
        <v>2131</v>
      </c>
      <c r="H487" s="6" t="s">
        <v>1972</v>
      </c>
      <c r="I487" s="6" t="s">
        <v>81</v>
      </c>
      <c r="J487" s="6" t="s">
        <v>24</v>
      </c>
      <c r="K487" s="6"/>
      <c r="L487" s="7">
        <v>45577</v>
      </c>
      <c r="M487" s="6" t="s">
        <v>25</v>
      </c>
      <c r="N487" s="8" t="s">
        <v>2132</v>
      </c>
      <c r="O487" s="6">
        <f>HYPERLINK("https://docs.wto.org/imrd/directdoc.asp?DDFDocuments/t/G/TBTN24/UGA1988.DOCX", "https://docs.wto.org/imrd/directdoc.asp?DDFDocuments/t/G/TBTN24/UGA1988.DOCX")</f>
      </c>
      <c r="P487" s="6">
        <f>HYPERLINK("https://docs.wto.org/imrd/directdoc.asp?DDFDocuments/u/G/TBTN24/UGA1988.DOCX", "https://docs.wto.org/imrd/directdoc.asp?DDFDocuments/u/G/TBTN24/UGA1988.DOCX")</f>
      </c>
      <c r="Q487" s="6">
        <f>HYPERLINK("https://docs.wto.org/imrd/directdoc.asp?DDFDocuments/v/G/TBTN24/UGA1988.DOCX", "https://docs.wto.org/imrd/directdoc.asp?DDFDocuments/v/G/TBTN24/UGA1988.DOCX")</f>
      </c>
    </row>
    <row r="488">
      <c r="A488" s="6" t="s">
        <v>880</v>
      </c>
      <c r="B488" s="7">
        <v>45517</v>
      </c>
      <c r="C488" s="6">
        <f>HYPERLINK("https://eping.wto.org/en/Search?viewData= G/TBT/N/BDI/495, G/TBT/N/KEN/1655, G/TBT/N/RWA/1044, G/TBT/N/TZA/1158, G/TBT/N/UGA/1995"," G/TBT/N/BDI/495, G/TBT/N/KEN/1655, G/TBT/N/RWA/1044, G/TBT/N/TZA/1158, G/TBT/N/UGA/1995")</f>
      </c>
      <c r="D488" s="8" t="s">
        <v>2036</v>
      </c>
      <c r="E488" s="8" t="s">
        <v>2037</v>
      </c>
      <c r="F488" s="8" t="s">
        <v>2038</v>
      </c>
      <c r="G488" s="6" t="s">
        <v>2039</v>
      </c>
      <c r="H488" s="6" t="s">
        <v>2022</v>
      </c>
      <c r="I488" s="6" t="s">
        <v>886</v>
      </c>
      <c r="J488" s="6" t="s">
        <v>24</v>
      </c>
      <c r="K488" s="6"/>
      <c r="L488" s="7">
        <v>45577</v>
      </c>
      <c r="M488" s="6" t="s">
        <v>25</v>
      </c>
      <c r="N488" s="8" t="s">
        <v>2040</v>
      </c>
      <c r="O488" s="6">
        <f>HYPERLINK("https://docs.wto.org/imrd/directdoc.asp?DDFDocuments/t/G/TBTN24/BDI495.DOCX", "https://docs.wto.org/imrd/directdoc.asp?DDFDocuments/t/G/TBTN24/BDI495.DOCX")</f>
      </c>
      <c r="P488" s="6">
        <f>HYPERLINK("https://docs.wto.org/imrd/directdoc.asp?DDFDocuments/u/G/TBTN24/BDI495.DOCX", "https://docs.wto.org/imrd/directdoc.asp?DDFDocuments/u/G/TBTN24/BDI495.DOCX")</f>
      </c>
      <c r="Q488" s="6">
        <f>HYPERLINK("https://docs.wto.org/imrd/directdoc.asp?DDFDocuments/v/G/TBTN24/BDI495.DOCX", "https://docs.wto.org/imrd/directdoc.asp?DDFDocuments/v/G/TBTN24/BDI495.DOCX")</f>
      </c>
    </row>
    <row r="489">
      <c r="A489" s="6" t="s">
        <v>2024</v>
      </c>
      <c r="B489" s="7">
        <v>45517</v>
      </c>
      <c r="C489" s="6">
        <f>HYPERLINK("https://eping.wto.org/en/Search?viewData= G/TBT/N/BDI/496, G/TBT/N/KEN/1656, G/TBT/N/RWA/1045, G/TBT/N/TZA/1159, G/TBT/N/UGA/1996"," G/TBT/N/BDI/496, G/TBT/N/KEN/1656, G/TBT/N/RWA/1045, G/TBT/N/TZA/1159, G/TBT/N/UGA/1996")</f>
      </c>
      <c r="D489" s="8" t="s">
        <v>2091</v>
      </c>
      <c r="E489" s="8" t="s">
        <v>2092</v>
      </c>
      <c r="F489" s="8" t="s">
        <v>2027</v>
      </c>
      <c r="G489" s="6" t="s">
        <v>2028</v>
      </c>
      <c r="H489" s="6" t="s">
        <v>2022</v>
      </c>
      <c r="I489" s="6" t="s">
        <v>886</v>
      </c>
      <c r="J489" s="6" t="s">
        <v>24</v>
      </c>
      <c r="K489" s="6"/>
      <c r="L489" s="7">
        <v>45577</v>
      </c>
      <c r="M489" s="6" t="s">
        <v>25</v>
      </c>
      <c r="N489" s="8" t="s">
        <v>2093</v>
      </c>
      <c r="O489" s="6">
        <f>HYPERLINK("https://docs.wto.org/imrd/directdoc.asp?DDFDocuments/t/G/TBTN24/BDI496.DOCX", "https://docs.wto.org/imrd/directdoc.asp?DDFDocuments/t/G/TBTN24/BDI496.DOCX")</f>
      </c>
      <c r="P489" s="6">
        <f>HYPERLINK("https://docs.wto.org/imrd/directdoc.asp?DDFDocuments/u/G/TBTN24/BDI496.DOCX", "https://docs.wto.org/imrd/directdoc.asp?DDFDocuments/u/G/TBTN24/BDI496.DOCX")</f>
      </c>
      <c r="Q489" s="6">
        <f>HYPERLINK("https://docs.wto.org/imrd/directdoc.asp?DDFDocuments/v/G/TBTN24/BDI496.DOCX", "https://docs.wto.org/imrd/directdoc.asp?DDFDocuments/v/G/TBTN24/BDI496.DOCX")</f>
      </c>
    </row>
    <row r="490">
      <c r="A490" s="6" t="s">
        <v>2024</v>
      </c>
      <c r="B490" s="7">
        <v>45517</v>
      </c>
      <c r="C490" s="6">
        <f>HYPERLINK("https://eping.wto.org/en/Search?viewData= G/TBT/N/BDI/491, G/TBT/N/KEN/1651, G/TBT/N/RWA/1040, G/TBT/N/TZA/1154, G/TBT/N/UGA/1991"," G/TBT/N/BDI/491, G/TBT/N/KEN/1651, G/TBT/N/RWA/1040, G/TBT/N/TZA/1154, G/TBT/N/UGA/1991")</f>
      </c>
      <c r="D490" s="8" t="s">
        <v>2072</v>
      </c>
      <c r="E490" s="8" t="s">
        <v>2073</v>
      </c>
      <c r="F490" s="8" t="s">
        <v>2074</v>
      </c>
      <c r="G490" s="6" t="s">
        <v>2075</v>
      </c>
      <c r="H490" s="6" t="s">
        <v>2022</v>
      </c>
      <c r="I490" s="6" t="s">
        <v>886</v>
      </c>
      <c r="J490" s="6" t="s">
        <v>24</v>
      </c>
      <c r="K490" s="6"/>
      <c r="L490" s="7">
        <v>45577</v>
      </c>
      <c r="M490" s="6" t="s">
        <v>25</v>
      </c>
      <c r="N490" s="8" t="s">
        <v>2076</v>
      </c>
      <c r="O490" s="6">
        <f>HYPERLINK("https://docs.wto.org/imrd/directdoc.asp?DDFDocuments/t/G/TBTN24/BDI491.DOCX", "https://docs.wto.org/imrd/directdoc.asp?DDFDocuments/t/G/TBTN24/BDI491.DOCX")</f>
      </c>
      <c r="P490" s="6">
        <f>HYPERLINK("https://docs.wto.org/imrd/directdoc.asp?DDFDocuments/u/G/TBTN24/BDI491.DOCX", "https://docs.wto.org/imrd/directdoc.asp?DDFDocuments/u/G/TBTN24/BDI491.DOCX")</f>
      </c>
      <c r="Q490" s="6">
        <f>HYPERLINK("https://docs.wto.org/imrd/directdoc.asp?DDFDocuments/v/G/TBTN24/BDI491.DOCX", "https://docs.wto.org/imrd/directdoc.asp?DDFDocuments/v/G/TBTN24/BDI491.DOCX")</f>
      </c>
    </row>
    <row r="491">
      <c r="A491" s="6" t="s">
        <v>880</v>
      </c>
      <c r="B491" s="7">
        <v>45517</v>
      </c>
      <c r="C491" s="6">
        <f>HYPERLINK("https://eping.wto.org/en/Search?viewData= G/TBT/N/BDI/493, G/TBT/N/KEN/1653, G/TBT/N/RWA/1042, G/TBT/N/TZA/1156, G/TBT/N/UGA/1993"," G/TBT/N/BDI/493, G/TBT/N/KEN/1653, G/TBT/N/RWA/1042, G/TBT/N/TZA/1156, G/TBT/N/UGA/1993")</f>
      </c>
      <c r="D491" s="8" t="s">
        <v>2045</v>
      </c>
      <c r="E491" s="8" t="s">
        <v>2046</v>
      </c>
      <c r="F491" s="8" t="s">
        <v>2020</v>
      </c>
      <c r="G491" s="6" t="s">
        <v>2101</v>
      </c>
      <c r="H491" s="6" t="s">
        <v>2022</v>
      </c>
      <c r="I491" s="6" t="s">
        <v>886</v>
      </c>
      <c r="J491" s="6" t="s">
        <v>24</v>
      </c>
      <c r="K491" s="6"/>
      <c r="L491" s="7">
        <v>45577</v>
      </c>
      <c r="M491" s="6" t="s">
        <v>25</v>
      </c>
      <c r="N491" s="8" t="s">
        <v>2047</v>
      </c>
      <c r="O491" s="6">
        <f>HYPERLINK("https://docs.wto.org/imrd/directdoc.asp?DDFDocuments/t/G/TBTN24/BDI493.DOCX", "https://docs.wto.org/imrd/directdoc.asp?DDFDocuments/t/G/TBTN24/BDI493.DOCX")</f>
      </c>
      <c r="P491" s="6">
        <f>HYPERLINK("https://docs.wto.org/imrd/directdoc.asp?DDFDocuments/u/G/TBTN24/BDI493.DOCX", "https://docs.wto.org/imrd/directdoc.asp?DDFDocuments/u/G/TBTN24/BDI493.DOCX")</f>
      </c>
      <c r="Q491" s="6">
        <f>HYPERLINK("https://docs.wto.org/imrd/directdoc.asp?DDFDocuments/v/G/TBTN24/BDI493.DOCX", "https://docs.wto.org/imrd/directdoc.asp?DDFDocuments/v/G/TBTN24/BDI493.DOCX")</f>
      </c>
    </row>
    <row r="492">
      <c r="A492" s="6" t="s">
        <v>17</v>
      </c>
      <c r="B492" s="7">
        <v>45517</v>
      </c>
      <c r="C492" s="6">
        <f>HYPERLINK("https://eping.wto.org/en/Search?viewData= G/TBT/N/BDI/494, G/TBT/N/KEN/1654, G/TBT/N/RWA/1043, G/TBT/N/TZA/1157, G/TBT/N/UGA/1994"," G/TBT/N/BDI/494, G/TBT/N/KEN/1654, G/TBT/N/RWA/1043, G/TBT/N/TZA/1157, G/TBT/N/UGA/1994")</f>
      </c>
      <c r="D492" s="8" t="s">
        <v>2098</v>
      </c>
      <c r="E492" s="8" t="s">
        <v>2099</v>
      </c>
      <c r="F492" s="8" t="s">
        <v>2100</v>
      </c>
      <c r="G492" s="6" t="s">
        <v>2021</v>
      </c>
      <c r="H492" s="6" t="s">
        <v>2022</v>
      </c>
      <c r="I492" s="6" t="s">
        <v>2102</v>
      </c>
      <c r="J492" s="6" t="s">
        <v>24</v>
      </c>
      <c r="K492" s="6"/>
      <c r="L492" s="7">
        <v>45577</v>
      </c>
      <c r="M492" s="6" t="s">
        <v>25</v>
      </c>
      <c r="N492" s="8" t="s">
        <v>2103</v>
      </c>
      <c r="O492" s="6">
        <f>HYPERLINK("https://docs.wto.org/imrd/directdoc.asp?DDFDocuments/t/G/TBTN24/BDI494.DOCX", "https://docs.wto.org/imrd/directdoc.asp?DDFDocuments/t/G/TBTN24/BDI494.DOCX")</f>
      </c>
      <c r="P492" s="6">
        <f>HYPERLINK("https://docs.wto.org/imrd/directdoc.asp?DDFDocuments/u/G/TBTN24/BDI494.DOCX", "https://docs.wto.org/imrd/directdoc.asp?DDFDocuments/u/G/TBTN24/BDI494.DOCX")</f>
      </c>
      <c r="Q492" s="6">
        <f>HYPERLINK("https://docs.wto.org/imrd/directdoc.asp?DDFDocuments/v/G/TBTN24/BDI494.DOCX", "https://docs.wto.org/imrd/directdoc.asp?DDFDocuments/v/G/TBTN24/BDI494.DOCX")</f>
      </c>
    </row>
    <row r="493">
      <c r="A493" s="6" t="s">
        <v>880</v>
      </c>
      <c r="B493" s="7">
        <v>45517</v>
      </c>
      <c r="C493" s="6">
        <f>HYPERLINK("https://eping.wto.org/en/Search?viewData= G/SPS/N/BDI/117, G/SPS/N/KEN/296, G/SPS/N/RWA/110, G/SPS/N/TZA/375, G/SPS/N/UGA/368"," G/SPS/N/BDI/117, G/SPS/N/KEN/296, G/SPS/N/RWA/110, G/SPS/N/TZA/375, G/SPS/N/UGA/368")</f>
      </c>
      <c r="D493" s="8" t="s">
        <v>2018</v>
      </c>
      <c r="E493" s="8" t="s">
        <v>2019</v>
      </c>
      <c r="F493" s="8" t="s">
        <v>2020</v>
      </c>
      <c r="G493" s="6" t="s">
        <v>2101</v>
      </c>
      <c r="H493" s="6" t="s">
        <v>2022</v>
      </c>
      <c r="I493" s="6" t="s">
        <v>38</v>
      </c>
      <c r="J493" s="6" t="s">
        <v>60</v>
      </c>
      <c r="K493" s="6" t="s">
        <v>40</v>
      </c>
      <c r="L493" s="7">
        <v>45577</v>
      </c>
      <c r="M493" s="6" t="s">
        <v>25</v>
      </c>
      <c r="N493" s="8" t="s">
        <v>2023</v>
      </c>
      <c r="O493" s="6">
        <f>HYPERLINK("https://docs.wto.org/imrd/directdoc.asp?DDFDocuments/t/G/SPS/NBDI117.DOCX", "https://docs.wto.org/imrd/directdoc.asp?DDFDocuments/t/G/SPS/NBDI117.DOCX")</f>
      </c>
      <c r="P493" s="6">
        <f>HYPERLINK("https://docs.wto.org/imrd/directdoc.asp?DDFDocuments/u/G/SPS/NBDI117.DOCX", "https://docs.wto.org/imrd/directdoc.asp?DDFDocuments/u/G/SPS/NBDI117.DOCX")</f>
      </c>
      <c r="Q493" s="6">
        <f>HYPERLINK("https://docs.wto.org/imrd/directdoc.asp?DDFDocuments/v/G/SPS/NBDI117.DOCX", "https://docs.wto.org/imrd/directdoc.asp?DDFDocuments/v/G/SPS/NBDI117.DOCX")</f>
      </c>
    </row>
    <row r="494">
      <c r="A494" s="6" t="s">
        <v>160</v>
      </c>
      <c r="B494" s="7">
        <v>45517</v>
      </c>
      <c r="C494" s="6">
        <f>HYPERLINK("https://eping.wto.org/en/Search?viewData= G/TBT/N/USA/1954/Rev.1/Add.1"," G/TBT/N/USA/1954/Rev.1/Add.1")</f>
      </c>
      <c r="D494" s="8" t="s">
        <v>2133</v>
      </c>
      <c r="E494" s="8" t="s">
        <v>2134</v>
      </c>
      <c r="F494" s="8" t="s">
        <v>1955</v>
      </c>
      <c r="G494" s="6" t="s">
        <v>40</v>
      </c>
      <c r="H494" s="6" t="s">
        <v>2135</v>
      </c>
      <c r="I494" s="6" t="s">
        <v>1957</v>
      </c>
      <c r="J494" s="6" t="s">
        <v>40</v>
      </c>
      <c r="K494" s="6"/>
      <c r="L494" s="7">
        <v>45531</v>
      </c>
      <c r="M494" s="6" t="s">
        <v>76</v>
      </c>
      <c r="N494" s="6"/>
      <c r="O494" s="6">
        <f>HYPERLINK("https://docs.wto.org/imrd/directdoc.asp?DDFDocuments/t/G/TBTN22/USA1954R1A1.DOCX", "https://docs.wto.org/imrd/directdoc.asp?DDFDocuments/t/G/TBTN22/USA1954R1A1.DOCX")</f>
      </c>
      <c r="P494" s="6">
        <f>HYPERLINK("https://docs.wto.org/imrd/directdoc.asp?DDFDocuments/u/G/TBTN22/USA1954R1A1.DOCX", "https://docs.wto.org/imrd/directdoc.asp?DDFDocuments/u/G/TBTN22/USA1954R1A1.DOCX")</f>
      </c>
      <c r="Q494" s="6">
        <f>HYPERLINK("https://docs.wto.org/imrd/directdoc.asp?DDFDocuments/v/G/TBTN22/USA1954R1A1.DOCX", "https://docs.wto.org/imrd/directdoc.asp?DDFDocuments/v/G/TBTN22/USA1954R1A1.DOCX")</f>
      </c>
    </row>
    <row r="495">
      <c r="A495" s="6" t="s">
        <v>322</v>
      </c>
      <c r="B495" s="7">
        <v>45517</v>
      </c>
      <c r="C495" s="6">
        <f>HYPERLINK("https://eping.wto.org/en/Search?viewData= G/TBT/N/TPKM/521/Rev.1"," G/TBT/N/TPKM/521/Rev.1")</f>
      </c>
      <c r="D495" s="8" t="s">
        <v>2136</v>
      </c>
      <c r="E495" s="8" t="s">
        <v>2137</v>
      </c>
      <c r="F495" s="8" t="s">
        <v>1391</v>
      </c>
      <c r="G495" s="6" t="s">
        <v>2138</v>
      </c>
      <c r="H495" s="6" t="s">
        <v>1316</v>
      </c>
      <c r="I495" s="6" t="s">
        <v>147</v>
      </c>
      <c r="J495" s="6" t="s">
        <v>95</v>
      </c>
      <c r="K495" s="6"/>
      <c r="L495" s="7">
        <v>45577</v>
      </c>
      <c r="M495" s="6" t="s">
        <v>214</v>
      </c>
      <c r="N495" s="8" t="s">
        <v>2139</v>
      </c>
      <c r="O495" s="6">
        <f>HYPERLINK("https://docs.wto.org/imrd/directdoc.asp?DDFDocuments/t/G/TBTN23/TPKM521R1.DOCX", "https://docs.wto.org/imrd/directdoc.asp?DDFDocuments/t/G/TBTN23/TPKM521R1.DOCX")</f>
      </c>
      <c r="P495" s="6">
        <f>HYPERLINK("https://docs.wto.org/imrd/directdoc.asp?DDFDocuments/u/G/TBTN23/TPKM521R1.DOCX", "https://docs.wto.org/imrd/directdoc.asp?DDFDocuments/u/G/TBTN23/TPKM521R1.DOCX")</f>
      </c>
      <c r="Q495" s="6">
        <f>HYPERLINK("https://docs.wto.org/imrd/directdoc.asp?DDFDocuments/v/G/TBTN23/TPKM521R1.DOCX", "https://docs.wto.org/imrd/directdoc.asp?DDFDocuments/v/G/TBTN23/TPKM521R1.DOCX")</f>
      </c>
    </row>
    <row r="496">
      <c r="A496" s="6" t="s">
        <v>2030</v>
      </c>
      <c r="B496" s="7">
        <v>45517</v>
      </c>
      <c r="C496" s="6">
        <f>HYPERLINK("https://eping.wto.org/en/Search?viewData= G/TBT/N/BDI/495, G/TBT/N/KEN/1655, G/TBT/N/RWA/1044, G/TBT/N/TZA/1158, G/TBT/N/UGA/1995"," G/TBT/N/BDI/495, G/TBT/N/KEN/1655, G/TBT/N/RWA/1044, G/TBT/N/TZA/1158, G/TBT/N/UGA/1995")</f>
      </c>
      <c r="D496" s="8" t="s">
        <v>2036</v>
      </c>
      <c r="E496" s="8" t="s">
        <v>2037</v>
      </c>
      <c r="F496" s="8" t="s">
        <v>2038</v>
      </c>
      <c r="G496" s="6" t="s">
        <v>2039</v>
      </c>
      <c r="H496" s="6" t="s">
        <v>2022</v>
      </c>
      <c r="I496" s="6" t="s">
        <v>886</v>
      </c>
      <c r="J496" s="6" t="s">
        <v>24</v>
      </c>
      <c r="K496" s="6"/>
      <c r="L496" s="7">
        <v>45577</v>
      </c>
      <c r="M496" s="6" t="s">
        <v>25</v>
      </c>
      <c r="N496" s="8" t="s">
        <v>2040</v>
      </c>
      <c r="O496" s="6">
        <f>HYPERLINK("https://docs.wto.org/imrd/directdoc.asp?DDFDocuments/t/G/TBTN24/BDI495.DOCX", "https://docs.wto.org/imrd/directdoc.asp?DDFDocuments/t/G/TBTN24/BDI495.DOCX")</f>
      </c>
      <c r="P496" s="6">
        <f>HYPERLINK("https://docs.wto.org/imrd/directdoc.asp?DDFDocuments/u/G/TBTN24/BDI495.DOCX", "https://docs.wto.org/imrd/directdoc.asp?DDFDocuments/u/G/TBTN24/BDI495.DOCX")</f>
      </c>
      <c r="Q496" s="6">
        <f>HYPERLINK("https://docs.wto.org/imrd/directdoc.asp?DDFDocuments/v/G/TBTN24/BDI495.DOCX", "https://docs.wto.org/imrd/directdoc.asp?DDFDocuments/v/G/TBTN24/BDI495.DOCX")</f>
      </c>
    </row>
    <row r="497">
      <c r="A497" s="6" t="s">
        <v>17</v>
      </c>
      <c r="B497" s="7">
        <v>45517</v>
      </c>
      <c r="C497" s="6">
        <f>HYPERLINK("https://eping.wto.org/en/Search?viewData= G/TBT/N/BDI/491, G/TBT/N/KEN/1651, G/TBT/N/RWA/1040, G/TBT/N/TZA/1154, G/TBT/N/UGA/1991"," G/TBT/N/BDI/491, G/TBT/N/KEN/1651, G/TBT/N/RWA/1040, G/TBT/N/TZA/1154, G/TBT/N/UGA/1991")</f>
      </c>
      <c r="D497" s="8" t="s">
        <v>2072</v>
      </c>
      <c r="E497" s="8" t="s">
        <v>2073</v>
      </c>
      <c r="F497" s="8" t="s">
        <v>2074</v>
      </c>
      <c r="G497" s="6" t="s">
        <v>2075</v>
      </c>
      <c r="H497" s="6" t="s">
        <v>2022</v>
      </c>
      <c r="I497" s="6" t="s">
        <v>886</v>
      </c>
      <c r="J497" s="6" t="s">
        <v>24</v>
      </c>
      <c r="K497" s="6"/>
      <c r="L497" s="7">
        <v>45577</v>
      </c>
      <c r="M497" s="6" t="s">
        <v>25</v>
      </c>
      <c r="N497" s="8" t="s">
        <v>2076</v>
      </c>
      <c r="O497" s="6">
        <f>HYPERLINK("https://docs.wto.org/imrd/directdoc.asp?DDFDocuments/t/G/TBTN24/BDI491.DOCX", "https://docs.wto.org/imrd/directdoc.asp?DDFDocuments/t/G/TBTN24/BDI491.DOCX")</f>
      </c>
      <c r="P497" s="6">
        <f>HYPERLINK("https://docs.wto.org/imrd/directdoc.asp?DDFDocuments/u/G/TBTN24/BDI491.DOCX", "https://docs.wto.org/imrd/directdoc.asp?DDFDocuments/u/G/TBTN24/BDI491.DOCX")</f>
      </c>
      <c r="Q497" s="6">
        <f>HYPERLINK("https://docs.wto.org/imrd/directdoc.asp?DDFDocuments/v/G/TBTN24/BDI491.DOCX", "https://docs.wto.org/imrd/directdoc.asp?DDFDocuments/v/G/TBTN24/BDI491.DOCX")</f>
      </c>
    </row>
    <row r="498">
      <c r="A498" s="6" t="s">
        <v>880</v>
      </c>
      <c r="B498" s="7">
        <v>45517</v>
      </c>
      <c r="C498" s="6">
        <f>HYPERLINK("https://eping.wto.org/en/Search?viewData= G/SPS/N/BDI/119, G/SPS/N/KEN/298, G/SPS/N/RWA/112, G/SPS/N/TZA/377, G/SPS/N/UGA/370"," G/SPS/N/BDI/119, G/SPS/N/KEN/298, G/SPS/N/RWA/112, G/SPS/N/TZA/377, G/SPS/N/UGA/370")</f>
      </c>
      <c r="D498" s="8" t="s">
        <v>2104</v>
      </c>
      <c r="E498" s="8" t="s">
        <v>2105</v>
      </c>
      <c r="F498" s="8" t="s">
        <v>2106</v>
      </c>
      <c r="G498" s="6" t="s">
        <v>2039</v>
      </c>
      <c r="H498" s="6" t="s">
        <v>2022</v>
      </c>
      <c r="I498" s="6" t="s">
        <v>38</v>
      </c>
      <c r="J498" s="6" t="s">
        <v>39</v>
      </c>
      <c r="K498" s="6" t="s">
        <v>40</v>
      </c>
      <c r="L498" s="7">
        <v>45577</v>
      </c>
      <c r="M498" s="6" t="s">
        <v>25</v>
      </c>
      <c r="N498" s="8" t="s">
        <v>2107</v>
      </c>
      <c r="O498" s="6">
        <f>HYPERLINK("https://docs.wto.org/imrd/directdoc.asp?DDFDocuments/t/G/SPS/NBDI119.DOCX", "https://docs.wto.org/imrd/directdoc.asp?DDFDocuments/t/G/SPS/NBDI119.DOCX")</f>
      </c>
      <c r="P498" s="6">
        <f>HYPERLINK("https://docs.wto.org/imrd/directdoc.asp?DDFDocuments/u/G/SPS/NBDI119.DOCX", "https://docs.wto.org/imrd/directdoc.asp?DDFDocuments/u/G/SPS/NBDI119.DOCX")</f>
      </c>
      <c r="Q498" s="6">
        <f>HYPERLINK("https://docs.wto.org/imrd/directdoc.asp?DDFDocuments/v/G/SPS/NBDI119.DOCX", "https://docs.wto.org/imrd/directdoc.asp?DDFDocuments/v/G/SPS/NBDI119.DOCX")</f>
      </c>
    </row>
    <row r="499">
      <c r="A499" s="6" t="s">
        <v>2024</v>
      </c>
      <c r="B499" s="7">
        <v>45517</v>
      </c>
      <c r="C499" s="6">
        <f>HYPERLINK("https://eping.wto.org/en/Search?viewData= G/SPS/N/BDI/116, G/SPS/N/KEN/295, G/SPS/N/RWA/109, G/SPS/N/TZA/374, G/SPS/N/UGA/367"," G/SPS/N/BDI/116, G/SPS/N/KEN/295, G/SPS/N/RWA/109, G/SPS/N/TZA/374, G/SPS/N/UGA/367")</f>
      </c>
      <c r="D499" s="8" t="s">
        <v>2031</v>
      </c>
      <c r="E499" s="8" t="s">
        <v>2032</v>
      </c>
      <c r="F499" s="8" t="s">
        <v>2033</v>
      </c>
      <c r="G499" s="6" t="s">
        <v>2034</v>
      </c>
      <c r="H499" s="6" t="s">
        <v>2022</v>
      </c>
      <c r="I499" s="6" t="s">
        <v>38</v>
      </c>
      <c r="J499" s="6" t="s">
        <v>39</v>
      </c>
      <c r="K499" s="6" t="s">
        <v>40</v>
      </c>
      <c r="L499" s="7">
        <v>45577</v>
      </c>
      <c r="M499" s="6" t="s">
        <v>25</v>
      </c>
      <c r="N499" s="8" t="s">
        <v>2035</v>
      </c>
      <c r="O499" s="6">
        <f>HYPERLINK("https://docs.wto.org/imrd/directdoc.asp?DDFDocuments/t/G/SPS/NBDI116.DOCX", "https://docs.wto.org/imrd/directdoc.asp?DDFDocuments/t/G/SPS/NBDI116.DOCX")</f>
      </c>
      <c r="P499" s="6">
        <f>HYPERLINK("https://docs.wto.org/imrd/directdoc.asp?DDFDocuments/u/G/SPS/NBDI116.DOCX", "https://docs.wto.org/imrd/directdoc.asp?DDFDocuments/u/G/SPS/NBDI116.DOCX")</f>
      </c>
      <c r="Q499" s="6">
        <f>HYPERLINK("https://docs.wto.org/imrd/directdoc.asp?DDFDocuments/v/G/SPS/NBDI116.DOCX", "https://docs.wto.org/imrd/directdoc.asp?DDFDocuments/v/G/SPS/NBDI116.DOCX")</f>
      </c>
    </row>
    <row r="500">
      <c r="A500" s="6" t="s">
        <v>17</v>
      </c>
      <c r="B500" s="7">
        <v>45517</v>
      </c>
      <c r="C500" s="6">
        <f>HYPERLINK("https://eping.wto.org/en/Search?viewData= G/SPS/N/BDI/116, G/SPS/N/KEN/295, G/SPS/N/RWA/109, G/SPS/N/TZA/374, G/SPS/N/UGA/367"," G/SPS/N/BDI/116, G/SPS/N/KEN/295, G/SPS/N/RWA/109, G/SPS/N/TZA/374, G/SPS/N/UGA/367")</f>
      </c>
      <c r="D500" s="8" t="s">
        <v>2031</v>
      </c>
      <c r="E500" s="8" t="s">
        <v>2032</v>
      </c>
      <c r="F500" s="8" t="s">
        <v>2033</v>
      </c>
      <c r="G500" s="6" t="s">
        <v>2034</v>
      </c>
      <c r="H500" s="6" t="s">
        <v>2022</v>
      </c>
      <c r="I500" s="6" t="s">
        <v>38</v>
      </c>
      <c r="J500" s="6" t="s">
        <v>39</v>
      </c>
      <c r="K500" s="6" t="s">
        <v>40</v>
      </c>
      <c r="L500" s="7">
        <v>45577</v>
      </c>
      <c r="M500" s="6" t="s">
        <v>25</v>
      </c>
      <c r="N500" s="8" t="s">
        <v>2035</v>
      </c>
      <c r="O500" s="6">
        <f>HYPERLINK("https://docs.wto.org/imrd/directdoc.asp?DDFDocuments/t/G/SPS/NBDI116.DOCX", "https://docs.wto.org/imrd/directdoc.asp?DDFDocuments/t/G/SPS/NBDI116.DOCX")</f>
      </c>
      <c r="P500" s="6">
        <f>HYPERLINK("https://docs.wto.org/imrd/directdoc.asp?DDFDocuments/u/G/SPS/NBDI116.DOCX", "https://docs.wto.org/imrd/directdoc.asp?DDFDocuments/u/G/SPS/NBDI116.DOCX")</f>
      </c>
      <c r="Q500" s="6">
        <f>HYPERLINK("https://docs.wto.org/imrd/directdoc.asp?DDFDocuments/v/G/SPS/NBDI116.DOCX", "https://docs.wto.org/imrd/directdoc.asp?DDFDocuments/v/G/SPS/NBDI116.DOCX")</f>
      </c>
    </row>
    <row r="501">
      <c r="A501" s="6" t="s">
        <v>2030</v>
      </c>
      <c r="B501" s="7">
        <v>45517</v>
      </c>
      <c r="C501" s="6">
        <f>HYPERLINK("https://eping.wto.org/en/Search?viewData= G/SPS/N/BDI/118, G/SPS/N/KEN/297, G/SPS/N/RWA/111, G/SPS/N/TZA/376, G/SPS/N/UGA/369"," G/SPS/N/BDI/118, G/SPS/N/KEN/297, G/SPS/N/RWA/111, G/SPS/N/TZA/376, G/SPS/N/UGA/369")</f>
      </c>
      <c r="D501" s="8" t="s">
        <v>2025</v>
      </c>
      <c r="E501" s="8" t="s">
        <v>2026</v>
      </c>
      <c r="F501" s="8" t="s">
        <v>2027</v>
      </c>
      <c r="G501" s="6" t="s">
        <v>2028</v>
      </c>
      <c r="H501" s="6" t="s">
        <v>2022</v>
      </c>
      <c r="I501" s="6" t="s">
        <v>38</v>
      </c>
      <c r="J501" s="6" t="s">
        <v>39</v>
      </c>
      <c r="K501" s="6" t="s">
        <v>40</v>
      </c>
      <c r="L501" s="7">
        <v>45577</v>
      </c>
      <c r="M501" s="6" t="s">
        <v>25</v>
      </c>
      <c r="N501" s="8" t="s">
        <v>2029</v>
      </c>
      <c r="O501" s="6">
        <f>HYPERLINK("https://docs.wto.org/imrd/directdoc.asp?DDFDocuments/t/G/SPS/NBDI118.DOCX", "https://docs.wto.org/imrd/directdoc.asp?DDFDocuments/t/G/SPS/NBDI118.DOCX")</f>
      </c>
      <c r="P501" s="6">
        <f>HYPERLINK("https://docs.wto.org/imrd/directdoc.asp?DDFDocuments/u/G/SPS/NBDI118.DOCX", "https://docs.wto.org/imrd/directdoc.asp?DDFDocuments/u/G/SPS/NBDI118.DOCX")</f>
      </c>
      <c r="Q501" s="6">
        <f>HYPERLINK("https://docs.wto.org/imrd/directdoc.asp?DDFDocuments/v/G/SPS/NBDI118.DOCX", "https://docs.wto.org/imrd/directdoc.asp?DDFDocuments/v/G/SPS/NBDI118.DOCX")</f>
      </c>
    </row>
    <row r="502">
      <c r="A502" s="6" t="s">
        <v>17</v>
      </c>
      <c r="B502" s="7">
        <v>45517</v>
      </c>
      <c r="C502" s="6">
        <f>HYPERLINK("https://eping.wto.org/en/Search?viewData= G/TBT/N/BDI/495, G/TBT/N/KEN/1655, G/TBT/N/RWA/1044, G/TBT/N/TZA/1158, G/TBT/N/UGA/1995"," G/TBT/N/BDI/495, G/TBT/N/KEN/1655, G/TBT/N/RWA/1044, G/TBT/N/TZA/1158, G/TBT/N/UGA/1995")</f>
      </c>
      <c r="D502" s="8" t="s">
        <v>2036</v>
      </c>
      <c r="E502" s="8" t="s">
        <v>2037</v>
      </c>
      <c r="F502" s="8" t="s">
        <v>2038</v>
      </c>
      <c r="G502" s="6" t="s">
        <v>2039</v>
      </c>
      <c r="H502" s="6" t="s">
        <v>2022</v>
      </c>
      <c r="I502" s="6" t="s">
        <v>886</v>
      </c>
      <c r="J502" s="6" t="s">
        <v>24</v>
      </c>
      <c r="K502" s="6"/>
      <c r="L502" s="7">
        <v>45577</v>
      </c>
      <c r="M502" s="6" t="s">
        <v>25</v>
      </c>
      <c r="N502" s="8" t="s">
        <v>2040</v>
      </c>
      <c r="O502" s="6">
        <f>HYPERLINK("https://docs.wto.org/imrd/directdoc.asp?DDFDocuments/t/G/TBTN24/BDI495.DOCX", "https://docs.wto.org/imrd/directdoc.asp?DDFDocuments/t/G/TBTN24/BDI495.DOCX")</f>
      </c>
      <c r="P502" s="6">
        <f>HYPERLINK("https://docs.wto.org/imrd/directdoc.asp?DDFDocuments/u/G/TBTN24/BDI495.DOCX", "https://docs.wto.org/imrd/directdoc.asp?DDFDocuments/u/G/TBTN24/BDI495.DOCX")</f>
      </c>
      <c r="Q502" s="6">
        <f>HYPERLINK("https://docs.wto.org/imrd/directdoc.asp?DDFDocuments/v/G/TBTN24/BDI495.DOCX", "https://docs.wto.org/imrd/directdoc.asp?DDFDocuments/v/G/TBTN24/BDI495.DOCX")</f>
      </c>
    </row>
    <row r="503">
      <c r="A503" s="6" t="s">
        <v>2030</v>
      </c>
      <c r="B503" s="7">
        <v>45517</v>
      </c>
      <c r="C503" s="6">
        <f>HYPERLINK("https://eping.wto.org/en/Search?viewData= G/SPS/N/BDI/114, G/SPS/N/KEN/293, G/SPS/N/RWA/107, G/SPS/N/TZA/372, G/SPS/N/UGA/365"," G/SPS/N/BDI/114, G/SPS/N/KEN/293, G/SPS/N/RWA/107, G/SPS/N/TZA/372, G/SPS/N/UGA/365")</f>
      </c>
      <c r="D503" s="8" t="s">
        <v>2042</v>
      </c>
      <c r="E503" s="8" t="s">
        <v>2043</v>
      </c>
      <c r="F503" s="8" t="s">
        <v>2020</v>
      </c>
      <c r="G503" s="6" t="s">
        <v>2021</v>
      </c>
      <c r="H503" s="6" t="s">
        <v>2022</v>
      </c>
      <c r="I503" s="6" t="s">
        <v>38</v>
      </c>
      <c r="J503" s="6" t="s">
        <v>39</v>
      </c>
      <c r="K503" s="6" t="s">
        <v>40</v>
      </c>
      <c r="L503" s="7">
        <v>45577</v>
      </c>
      <c r="M503" s="6" t="s">
        <v>25</v>
      </c>
      <c r="N503" s="8" t="s">
        <v>2044</v>
      </c>
      <c r="O503" s="6">
        <f>HYPERLINK("https://docs.wto.org/imrd/directdoc.asp?DDFDocuments/t/G/SPS/NBDI114.DOCX", "https://docs.wto.org/imrd/directdoc.asp?DDFDocuments/t/G/SPS/NBDI114.DOCX")</f>
      </c>
      <c r="P503" s="6">
        <f>HYPERLINK("https://docs.wto.org/imrd/directdoc.asp?DDFDocuments/u/G/SPS/NBDI114.DOCX", "https://docs.wto.org/imrd/directdoc.asp?DDFDocuments/u/G/SPS/NBDI114.DOCX")</f>
      </c>
      <c r="Q503" s="6">
        <f>HYPERLINK("https://docs.wto.org/imrd/directdoc.asp?DDFDocuments/v/G/SPS/NBDI114.DOCX", "https://docs.wto.org/imrd/directdoc.asp?DDFDocuments/v/G/SPS/NBDI114.DOCX")</f>
      </c>
    </row>
    <row r="504">
      <c r="A504" s="6" t="s">
        <v>2030</v>
      </c>
      <c r="B504" s="7">
        <v>45517</v>
      </c>
      <c r="C504" s="6">
        <f>HYPERLINK("https://eping.wto.org/en/Search?viewData= G/TBT/N/UGA/1979"," G/TBT/N/UGA/1979")</f>
      </c>
      <c r="D504" s="8" t="s">
        <v>2140</v>
      </c>
      <c r="E504" s="8" t="s">
        <v>2141</v>
      </c>
      <c r="F504" s="8" t="s">
        <v>2142</v>
      </c>
      <c r="G504" s="6" t="s">
        <v>2143</v>
      </c>
      <c r="H504" s="6" t="s">
        <v>1972</v>
      </c>
      <c r="I504" s="6" t="s">
        <v>81</v>
      </c>
      <c r="J504" s="6" t="s">
        <v>24</v>
      </c>
      <c r="K504" s="6"/>
      <c r="L504" s="7">
        <v>45577</v>
      </c>
      <c r="M504" s="6" t="s">
        <v>25</v>
      </c>
      <c r="N504" s="8" t="s">
        <v>2144</v>
      </c>
      <c r="O504" s="6">
        <f>HYPERLINK("https://docs.wto.org/imrd/directdoc.asp?DDFDocuments/t/G/TBTN24/UGA1979.DOCX", "https://docs.wto.org/imrd/directdoc.asp?DDFDocuments/t/G/TBTN24/UGA1979.DOCX")</f>
      </c>
      <c r="P504" s="6">
        <f>HYPERLINK("https://docs.wto.org/imrd/directdoc.asp?DDFDocuments/u/G/TBTN24/UGA1979.DOCX", "https://docs.wto.org/imrd/directdoc.asp?DDFDocuments/u/G/TBTN24/UGA1979.DOCX")</f>
      </c>
      <c r="Q504" s="6">
        <f>HYPERLINK("https://docs.wto.org/imrd/directdoc.asp?DDFDocuments/v/G/TBTN24/UGA1979.DOCX", "https://docs.wto.org/imrd/directdoc.asp?DDFDocuments/v/G/TBTN24/UGA1979.DOCX")</f>
      </c>
    </row>
    <row r="505">
      <c r="A505" s="6" t="s">
        <v>115</v>
      </c>
      <c r="B505" s="7">
        <v>45517</v>
      </c>
      <c r="C505" s="6">
        <f>HYPERLINK("https://eping.wto.org/en/Search?viewData= G/SPS/N/BRA/2321"," G/SPS/N/BRA/2321")</f>
      </c>
      <c r="D505" s="8" t="s">
        <v>2145</v>
      </c>
      <c r="E505" s="8" t="s">
        <v>2146</v>
      </c>
      <c r="F505" s="8" t="s">
        <v>1951</v>
      </c>
      <c r="G505" s="6" t="s">
        <v>40</v>
      </c>
      <c r="H505" s="6" t="s">
        <v>234</v>
      </c>
      <c r="I505" s="6" t="s">
        <v>38</v>
      </c>
      <c r="J505" s="6" t="s">
        <v>60</v>
      </c>
      <c r="K505" s="6"/>
      <c r="L505" s="7">
        <v>45572</v>
      </c>
      <c r="M505" s="6" t="s">
        <v>25</v>
      </c>
      <c r="N505" s="8" t="s">
        <v>2147</v>
      </c>
      <c r="O505" s="6">
        <f>HYPERLINK("https://docs.wto.org/imrd/directdoc.asp?DDFDocuments/t/G/SPS/NBRA2321.DOCX", "https://docs.wto.org/imrd/directdoc.asp?DDFDocuments/t/G/SPS/NBRA2321.DOCX")</f>
      </c>
      <c r="P505" s="6">
        <f>HYPERLINK("https://docs.wto.org/imrd/directdoc.asp?DDFDocuments/u/G/SPS/NBRA2321.DOCX", "https://docs.wto.org/imrd/directdoc.asp?DDFDocuments/u/G/SPS/NBRA2321.DOCX")</f>
      </c>
      <c r="Q505" s="6">
        <f>HYPERLINK("https://docs.wto.org/imrd/directdoc.asp?DDFDocuments/v/G/SPS/NBRA2321.DOCX", "https://docs.wto.org/imrd/directdoc.asp?DDFDocuments/v/G/SPS/NBRA2321.DOCX")</f>
      </c>
    </row>
    <row r="506">
      <c r="A506" s="6" t="s">
        <v>2030</v>
      </c>
      <c r="B506" s="7">
        <v>45517</v>
      </c>
      <c r="C506" s="6">
        <f>HYPERLINK("https://eping.wto.org/en/Search?viewData= G/SPS/N/BDI/117, G/SPS/N/KEN/296, G/SPS/N/RWA/110, G/SPS/N/TZA/375, G/SPS/N/UGA/368"," G/SPS/N/BDI/117, G/SPS/N/KEN/296, G/SPS/N/RWA/110, G/SPS/N/TZA/375, G/SPS/N/UGA/368")</f>
      </c>
      <c r="D506" s="8" t="s">
        <v>2018</v>
      </c>
      <c r="E506" s="8" t="s">
        <v>2019</v>
      </c>
      <c r="F506" s="8" t="s">
        <v>2020</v>
      </c>
      <c r="G506" s="6" t="s">
        <v>2021</v>
      </c>
      <c r="H506" s="6" t="s">
        <v>2022</v>
      </c>
      <c r="I506" s="6" t="s">
        <v>38</v>
      </c>
      <c r="J506" s="6" t="s">
        <v>39</v>
      </c>
      <c r="K506" s="6" t="s">
        <v>40</v>
      </c>
      <c r="L506" s="7">
        <v>45577</v>
      </c>
      <c r="M506" s="6" t="s">
        <v>25</v>
      </c>
      <c r="N506" s="8" t="s">
        <v>2023</v>
      </c>
      <c r="O506" s="6">
        <f>HYPERLINK("https://docs.wto.org/imrd/directdoc.asp?DDFDocuments/t/G/SPS/NBDI117.DOCX", "https://docs.wto.org/imrd/directdoc.asp?DDFDocuments/t/G/SPS/NBDI117.DOCX")</f>
      </c>
      <c r="P506" s="6">
        <f>HYPERLINK("https://docs.wto.org/imrd/directdoc.asp?DDFDocuments/u/G/SPS/NBDI117.DOCX", "https://docs.wto.org/imrd/directdoc.asp?DDFDocuments/u/G/SPS/NBDI117.DOCX")</f>
      </c>
      <c r="Q506" s="6">
        <f>HYPERLINK("https://docs.wto.org/imrd/directdoc.asp?DDFDocuments/v/G/SPS/NBDI117.DOCX", "https://docs.wto.org/imrd/directdoc.asp?DDFDocuments/v/G/SPS/NBDI117.DOCX")</f>
      </c>
    </row>
    <row r="507">
      <c r="A507" s="6" t="s">
        <v>2041</v>
      </c>
      <c r="B507" s="7">
        <v>45517</v>
      </c>
      <c r="C507" s="6">
        <f>HYPERLINK("https://eping.wto.org/en/Search?viewData= G/SPS/N/BDI/118, G/SPS/N/KEN/297, G/SPS/N/RWA/111, G/SPS/N/TZA/376, G/SPS/N/UGA/369"," G/SPS/N/BDI/118, G/SPS/N/KEN/297, G/SPS/N/RWA/111, G/SPS/N/TZA/376, G/SPS/N/UGA/369")</f>
      </c>
      <c r="D507" s="8" t="s">
        <v>2025</v>
      </c>
      <c r="E507" s="8" t="s">
        <v>2026</v>
      </c>
      <c r="F507" s="8" t="s">
        <v>2027</v>
      </c>
      <c r="G507" s="6" t="s">
        <v>2028</v>
      </c>
      <c r="H507" s="6" t="s">
        <v>2022</v>
      </c>
      <c r="I507" s="6" t="s">
        <v>38</v>
      </c>
      <c r="J507" s="6" t="s">
        <v>39</v>
      </c>
      <c r="K507" s="6" t="s">
        <v>40</v>
      </c>
      <c r="L507" s="7">
        <v>45577</v>
      </c>
      <c r="M507" s="6" t="s">
        <v>25</v>
      </c>
      <c r="N507" s="8" t="s">
        <v>2029</v>
      </c>
      <c r="O507" s="6">
        <f>HYPERLINK("https://docs.wto.org/imrd/directdoc.asp?DDFDocuments/t/G/SPS/NBDI118.DOCX", "https://docs.wto.org/imrd/directdoc.asp?DDFDocuments/t/G/SPS/NBDI118.DOCX")</f>
      </c>
      <c r="P507" s="6">
        <f>HYPERLINK("https://docs.wto.org/imrd/directdoc.asp?DDFDocuments/u/G/SPS/NBDI118.DOCX", "https://docs.wto.org/imrd/directdoc.asp?DDFDocuments/u/G/SPS/NBDI118.DOCX")</f>
      </c>
      <c r="Q507" s="6">
        <f>HYPERLINK("https://docs.wto.org/imrd/directdoc.asp?DDFDocuments/v/G/SPS/NBDI118.DOCX", "https://docs.wto.org/imrd/directdoc.asp?DDFDocuments/v/G/SPS/NBDI118.DOCX")</f>
      </c>
    </row>
    <row r="508">
      <c r="A508" s="6" t="s">
        <v>17</v>
      </c>
      <c r="B508" s="7">
        <v>45517</v>
      </c>
      <c r="C508" s="6">
        <f>HYPERLINK("https://eping.wto.org/en/Search?viewData= G/TBT/N/KEN/1646"," G/TBT/N/KEN/1646")</f>
      </c>
      <c r="D508" s="8" t="s">
        <v>2148</v>
      </c>
      <c r="E508" s="8" t="s">
        <v>2149</v>
      </c>
      <c r="F508" s="8" t="s">
        <v>2150</v>
      </c>
      <c r="G508" s="6" t="s">
        <v>2151</v>
      </c>
      <c r="H508" s="6" t="s">
        <v>2152</v>
      </c>
      <c r="I508" s="6" t="s">
        <v>2153</v>
      </c>
      <c r="J508" s="6" t="s">
        <v>40</v>
      </c>
      <c r="K508" s="6"/>
      <c r="L508" s="7">
        <v>45577</v>
      </c>
      <c r="M508" s="6" t="s">
        <v>25</v>
      </c>
      <c r="N508" s="8" t="s">
        <v>2154</v>
      </c>
      <c r="O508" s="6">
        <f>HYPERLINK("https://docs.wto.org/imrd/directdoc.asp?DDFDocuments/t/G/TBTN24/KEN1646.DOCX", "https://docs.wto.org/imrd/directdoc.asp?DDFDocuments/t/G/TBTN24/KEN1646.DOCX")</f>
      </c>
      <c r="P508" s="6">
        <f>HYPERLINK("https://docs.wto.org/imrd/directdoc.asp?DDFDocuments/u/G/TBTN24/KEN1646.DOCX", "https://docs.wto.org/imrd/directdoc.asp?DDFDocuments/u/G/TBTN24/KEN1646.DOCX")</f>
      </c>
      <c r="Q508" s="6">
        <f>HYPERLINK("https://docs.wto.org/imrd/directdoc.asp?DDFDocuments/v/G/TBTN24/KEN1646.DOCX", "https://docs.wto.org/imrd/directdoc.asp?DDFDocuments/v/G/TBTN24/KEN1646.DOCX")</f>
      </c>
    </row>
    <row r="509">
      <c r="A509" s="6" t="s">
        <v>2024</v>
      </c>
      <c r="B509" s="7">
        <v>45517</v>
      </c>
      <c r="C509" s="6">
        <f>HYPERLINK("https://eping.wto.org/en/Search?viewData= G/SPS/N/BDI/119, G/SPS/N/KEN/298, G/SPS/N/RWA/112, G/SPS/N/TZA/377, G/SPS/N/UGA/370"," G/SPS/N/BDI/119, G/SPS/N/KEN/298, G/SPS/N/RWA/112, G/SPS/N/TZA/377, G/SPS/N/UGA/370")</f>
      </c>
      <c r="D509" s="8" t="s">
        <v>2104</v>
      </c>
      <c r="E509" s="8" t="s">
        <v>2105</v>
      </c>
      <c r="F509" s="8" t="s">
        <v>2106</v>
      </c>
      <c r="G509" s="6" t="s">
        <v>2039</v>
      </c>
      <c r="H509" s="6" t="s">
        <v>2022</v>
      </c>
      <c r="I509" s="6" t="s">
        <v>38</v>
      </c>
      <c r="J509" s="6" t="s">
        <v>39</v>
      </c>
      <c r="K509" s="6" t="s">
        <v>40</v>
      </c>
      <c r="L509" s="7">
        <v>45577</v>
      </c>
      <c r="M509" s="6" t="s">
        <v>25</v>
      </c>
      <c r="N509" s="8" t="s">
        <v>2107</v>
      </c>
      <c r="O509" s="6">
        <f>HYPERLINK("https://docs.wto.org/imrd/directdoc.asp?DDFDocuments/t/G/SPS/NBDI119.DOCX", "https://docs.wto.org/imrd/directdoc.asp?DDFDocuments/t/G/SPS/NBDI119.DOCX")</f>
      </c>
      <c r="P509" s="6">
        <f>HYPERLINK("https://docs.wto.org/imrd/directdoc.asp?DDFDocuments/u/G/SPS/NBDI119.DOCX", "https://docs.wto.org/imrd/directdoc.asp?DDFDocuments/u/G/SPS/NBDI119.DOCX")</f>
      </c>
      <c r="Q509" s="6">
        <f>HYPERLINK("https://docs.wto.org/imrd/directdoc.asp?DDFDocuments/v/G/SPS/NBDI119.DOCX", "https://docs.wto.org/imrd/directdoc.asp?DDFDocuments/v/G/SPS/NBDI119.DOCX")</f>
      </c>
    </row>
    <row r="510">
      <c r="A510" s="6" t="s">
        <v>2041</v>
      </c>
      <c r="B510" s="7">
        <v>45517</v>
      </c>
      <c r="C510" s="6">
        <f>HYPERLINK("https://eping.wto.org/en/Search?viewData= G/TBT/N/BDI/493, G/TBT/N/KEN/1653, G/TBT/N/RWA/1042, G/TBT/N/TZA/1156, G/TBT/N/UGA/1993"," G/TBT/N/BDI/493, G/TBT/N/KEN/1653, G/TBT/N/RWA/1042, G/TBT/N/TZA/1156, G/TBT/N/UGA/1993")</f>
      </c>
      <c r="D510" s="8" t="s">
        <v>2045</v>
      </c>
      <c r="E510" s="8" t="s">
        <v>2046</v>
      </c>
      <c r="F510" s="8" t="s">
        <v>2020</v>
      </c>
      <c r="G510" s="6" t="s">
        <v>2021</v>
      </c>
      <c r="H510" s="6" t="s">
        <v>2022</v>
      </c>
      <c r="I510" s="6" t="s">
        <v>886</v>
      </c>
      <c r="J510" s="6" t="s">
        <v>24</v>
      </c>
      <c r="K510" s="6"/>
      <c r="L510" s="7">
        <v>45577</v>
      </c>
      <c r="M510" s="6" t="s">
        <v>25</v>
      </c>
      <c r="N510" s="8" t="s">
        <v>2047</v>
      </c>
      <c r="O510" s="6">
        <f>HYPERLINK("https://docs.wto.org/imrd/directdoc.asp?DDFDocuments/t/G/TBTN24/BDI493.DOCX", "https://docs.wto.org/imrd/directdoc.asp?DDFDocuments/t/G/TBTN24/BDI493.DOCX")</f>
      </c>
      <c r="P510" s="6">
        <f>HYPERLINK("https://docs.wto.org/imrd/directdoc.asp?DDFDocuments/u/G/TBTN24/BDI493.DOCX", "https://docs.wto.org/imrd/directdoc.asp?DDFDocuments/u/G/TBTN24/BDI493.DOCX")</f>
      </c>
      <c r="Q510" s="6">
        <f>HYPERLINK("https://docs.wto.org/imrd/directdoc.asp?DDFDocuments/v/G/TBTN24/BDI493.DOCX", "https://docs.wto.org/imrd/directdoc.asp?DDFDocuments/v/G/TBTN24/BDI493.DOCX")</f>
      </c>
    </row>
    <row r="511">
      <c r="A511" s="6" t="s">
        <v>880</v>
      </c>
      <c r="B511" s="7">
        <v>45517</v>
      </c>
      <c r="C511" s="6">
        <f>HYPERLINK("https://eping.wto.org/en/Search?viewData= G/TBT/N/BDI/491, G/TBT/N/KEN/1651, G/TBT/N/RWA/1040, G/TBT/N/TZA/1154, G/TBT/N/UGA/1991"," G/TBT/N/BDI/491, G/TBT/N/KEN/1651, G/TBT/N/RWA/1040, G/TBT/N/TZA/1154, G/TBT/N/UGA/1991")</f>
      </c>
      <c r="D511" s="8" t="s">
        <v>2072</v>
      </c>
      <c r="E511" s="8" t="s">
        <v>2073</v>
      </c>
      <c r="F511" s="8" t="s">
        <v>2074</v>
      </c>
      <c r="G511" s="6" t="s">
        <v>2075</v>
      </c>
      <c r="H511" s="6" t="s">
        <v>2022</v>
      </c>
      <c r="I511" s="6" t="s">
        <v>886</v>
      </c>
      <c r="J511" s="6" t="s">
        <v>24</v>
      </c>
      <c r="K511" s="6"/>
      <c r="L511" s="7">
        <v>45577</v>
      </c>
      <c r="M511" s="6" t="s">
        <v>25</v>
      </c>
      <c r="N511" s="8" t="s">
        <v>2076</v>
      </c>
      <c r="O511" s="6">
        <f>HYPERLINK("https://docs.wto.org/imrd/directdoc.asp?DDFDocuments/t/G/TBTN24/BDI491.DOCX", "https://docs.wto.org/imrd/directdoc.asp?DDFDocuments/t/G/TBTN24/BDI491.DOCX")</f>
      </c>
      <c r="P511" s="6">
        <f>HYPERLINK("https://docs.wto.org/imrd/directdoc.asp?DDFDocuments/u/G/TBTN24/BDI491.DOCX", "https://docs.wto.org/imrd/directdoc.asp?DDFDocuments/u/G/TBTN24/BDI491.DOCX")</f>
      </c>
      <c r="Q511" s="6">
        <f>HYPERLINK("https://docs.wto.org/imrd/directdoc.asp?DDFDocuments/v/G/TBTN24/BDI491.DOCX", "https://docs.wto.org/imrd/directdoc.asp?DDFDocuments/v/G/TBTN24/BDI491.DOCX")</f>
      </c>
    </row>
    <row r="512">
      <c r="A512" s="6" t="s">
        <v>1650</v>
      </c>
      <c r="B512" s="7">
        <v>45517</v>
      </c>
      <c r="C512" s="6">
        <f>HYPERLINK("https://eping.wto.org/en/Search?viewData= G/TBT/N/URY/96"," G/TBT/N/URY/96")</f>
      </c>
      <c r="D512" s="8" t="s">
        <v>2155</v>
      </c>
      <c r="E512" s="8" t="s">
        <v>2156</v>
      </c>
      <c r="F512" s="8" t="s">
        <v>422</v>
      </c>
      <c r="G512" s="6" t="s">
        <v>40</v>
      </c>
      <c r="H512" s="6" t="s">
        <v>2157</v>
      </c>
      <c r="I512" s="6" t="s">
        <v>147</v>
      </c>
      <c r="J512" s="6" t="s">
        <v>24</v>
      </c>
      <c r="K512" s="6"/>
      <c r="L512" s="7">
        <v>45577</v>
      </c>
      <c r="M512" s="6" t="s">
        <v>25</v>
      </c>
      <c r="N512" s="8" t="s">
        <v>2158</v>
      </c>
      <c r="O512" s="6">
        <f>HYPERLINK("https://docs.wto.org/imrd/directdoc.asp?DDFDocuments/t/G/TBTN24/URY96.DOCX", "https://docs.wto.org/imrd/directdoc.asp?DDFDocuments/t/G/TBTN24/URY96.DOCX")</f>
      </c>
      <c r="P512" s="6">
        <f>HYPERLINK("https://docs.wto.org/imrd/directdoc.asp?DDFDocuments/u/G/TBTN24/URY96.DOCX", "https://docs.wto.org/imrd/directdoc.asp?DDFDocuments/u/G/TBTN24/URY96.DOCX")</f>
      </c>
      <c r="Q512" s="6">
        <f>HYPERLINK("https://docs.wto.org/imrd/directdoc.asp?DDFDocuments/v/G/TBTN24/URY96.DOCX", "https://docs.wto.org/imrd/directdoc.asp?DDFDocuments/v/G/TBTN24/URY96.DOCX")</f>
      </c>
    </row>
    <row r="513">
      <c r="A513" s="6" t="s">
        <v>2041</v>
      </c>
      <c r="B513" s="7">
        <v>45517</v>
      </c>
      <c r="C513" s="6">
        <f>HYPERLINK("https://eping.wto.org/en/Search?viewData= G/SPS/N/BDI/115, G/SPS/N/KEN/294, G/SPS/N/RWA/108, G/SPS/N/TZA/373, G/SPS/N/UGA/366"," G/SPS/N/BDI/115, G/SPS/N/KEN/294, G/SPS/N/RWA/108, G/SPS/N/TZA/373, G/SPS/N/UGA/366")</f>
      </c>
      <c r="D513" s="8" t="s">
        <v>2108</v>
      </c>
      <c r="E513" s="8" t="s">
        <v>2109</v>
      </c>
      <c r="F513" s="8" t="s">
        <v>2074</v>
      </c>
      <c r="G513" s="6" t="s">
        <v>2075</v>
      </c>
      <c r="H513" s="6" t="s">
        <v>2022</v>
      </c>
      <c r="I513" s="6" t="s">
        <v>38</v>
      </c>
      <c r="J513" s="6" t="s">
        <v>39</v>
      </c>
      <c r="K513" s="6" t="s">
        <v>40</v>
      </c>
      <c r="L513" s="7">
        <v>45577</v>
      </c>
      <c r="M513" s="6" t="s">
        <v>25</v>
      </c>
      <c r="N513" s="8" t="s">
        <v>2110</v>
      </c>
      <c r="O513" s="6">
        <f>HYPERLINK("https://docs.wto.org/imrd/directdoc.asp?DDFDocuments/t/G/SPS/NBDI115.DOCX", "https://docs.wto.org/imrd/directdoc.asp?DDFDocuments/t/G/SPS/NBDI115.DOCX")</f>
      </c>
      <c r="P513" s="6">
        <f>HYPERLINK("https://docs.wto.org/imrd/directdoc.asp?DDFDocuments/u/G/SPS/NBDI115.DOCX", "https://docs.wto.org/imrd/directdoc.asp?DDFDocuments/u/G/SPS/NBDI115.DOCX")</f>
      </c>
      <c r="Q513" s="6">
        <f>HYPERLINK("https://docs.wto.org/imrd/directdoc.asp?DDFDocuments/v/G/SPS/NBDI115.DOCX", "https://docs.wto.org/imrd/directdoc.asp?DDFDocuments/v/G/SPS/NBDI115.DOCX")</f>
      </c>
    </row>
    <row r="514">
      <c r="A514" s="6" t="s">
        <v>2024</v>
      </c>
      <c r="B514" s="7">
        <v>45517</v>
      </c>
      <c r="C514" s="6">
        <f>HYPERLINK("https://eping.wto.org/en/Search?viewData= G/SPS/N/BDI/117, G/SPS/N/KEN/296, G/SPS/N/RWA/110, G/SPS/N/TZA/375, G/SPS/N/UGA/368"," G/SPS/N/BDI/117, G/SPS/N/KEN/296, G/SPS/N/RWA/110, G/SPS/N/TZA/375, G/SPS/N/UGA/368")</f>
      </c>
      <c r="D514" s="8" t="s">
        <v>2018</v>
      </c>
      <c r="E514" s="8" t="s">
        <v>2019</v>
      </c>
      <c r="F514" s="8" t="s">
        <v>2020</v>
      </c>
      <c r="G514" s="6" t="s">
        <v>2021</v>
      </c>
      <c r="H514" s="6" t="s">
        <v>2022</v>
      </c>
      <c r="I514" s="6" t="s">
        <v>38</v>
      </c>
      <c r="J514" s="6" t="s">
        <v>39</v>
      </c>
      <c r="K514" s="6" t="s">
        <v>40</v>
      </c>
      <c r="L514" s="7">
        <v>45577</v>
      </c>
      <c r="M514" s="6" t="s">
        <v>25</v>
      </c>
      <c r="N514" s="8" t="s">
        <v>2023</v>
      </c>
      <c r="O514" s="6">
        <f>HYPERLINK("https://docs.wto.org/imrd/directdoc.asp?DDFDocuments/t/G/SPS/NBDI117.DOCX", "https://docs.wto.org/imrd/directdoc.asp?DDFDocuments/t/G/SPS/NBDI117.DOCX")</f>
      </c>
      <c r="P514" s="6">
        <f>HYPERLINK("https://docs.wto.org/imrd/directdoc.asp?DDFDocuments/u/G/SPS/NBDI117.DOCX", "https://docs.wto.org/imrd/directdoc.asp?DDFDocuments/u/G/SPS/NBDI117.DOCX")</f>
      </c>
      <c r="Q514" s="6">
        <f>HYPERLINK("https://docs.wto.org/imrd/directdoc.asp?DDFDocuments/v/G/SPS/NBDI117.DOCX", "https://docs.wto.org/imrd/directdoc.asp?DDFDocuments/v/G/SPS/NBDI117.DOCX")</f>
      </c>
    </row>
    <row r="515">
      <c r="A515" s="6" t="s">
        <v>2041</v>
      </c>
      <c r="B515" s="7">
        <v>45517</v>
      </c>
      <c r="C515" s="6">
        <f>HYPERLINK("https://eping.wto.org/en/Search?viewData= G/SPS/N/BDI/117, G/SPS/N/KEN/296, G/SPS/N/RWA/110, G/SPS/N/TZA/375, G/SPS/N/UGA/368"," G/SPS/N/BDI/117, G/SPS/N/KEN/296, G/SPS/N/RWA/110, G/SPS/N/TZA/375, G/SPS/N/UGA/368")</f>
      </c>
      <c r="D515" s="8" t="s">
        <v>2018</v>
      </c>
      <c r="E515" s="8" t="s">
        <v>2019</v>
      </c>
      <c r="F515" s="8" t="s">
        <v>2020</v>
      </c>
      <c r="G515" s="6" t="s">
        <v>2021</v>
      </c>
      <c r="H515" s="6" t="s">
        <v>2022</v>
      </c>
      <c r="I515" s="6" t="s">
        <v>38</v>
      </c>
      <c r="J515" s="6" t="s">
        <v>39</v>
      </c>
      <c r="K515" s="6" t="s">
        <v>40</v>
      </c>
      <c r="L515" s="7">
        <v>45577</v>
      </c>
      <c r="M515" s="6" t="s">
        <v>25</v>
      </c>
      <c r="N515" s="8" t="s">
        <v>2023</v>
      </c>
      <c r="O515" s="6">
        <f>HYPERLINK("https://docs.wto.org/imrd/directdoc.asp?DDFDocuments/t/G/SPS/NBDI117.DOCX", "https://docs.wto.org/imrd/directdoc.asp?DDFDocuments/t/G/SPS/NBDI117.DOCX")</f>
      </c>
      <c r="P515" s="6">
        <f>HYPERLINK("https://docs.wto.org/imrd/directdoc.asp?DDFDocuments/u/G/SPS/NBDI117.DOCX", "https://docs.wto.org/imrd/directdoc.asp?DDFDocuments/u/G/SPS/NBDI117.DOCX")</f>
      </c>
      <c r="Q515" s="6">
        <f>HYPERLINK("https://docs.wto.org/imrd/directdoc.asp?DDFDocuments/v/G/SPS/NBDI117.DOCX", "https://docs.wto.org/imrd/directdoc.asp?DDFDocuments/v/G/SPS/NBDI117.DOCX")</f>
      </c>
    </row>
    <row r="516">
      <c r="A516" s="6" t="s">
        <v>239</v>
      </c>
      <c r="B516" s="7">
        <v>45517</v>
      </c>
      <c r="C516" s="6">
        <f>HYPERLINK("https://eping.wto.org/en/Search?viewData= G/TBT/N/VNM/312"," G/TBT/N/VNM/312")</f>
      </c>
      <c r="D516" s="8" t="s">
        <v>2159</v>
      </c>
      <c r="E516" s="8" t="s">
        <v>2160</v>
      </c>
      <c r="F516" s="8" t="s">
        <v>2161</v>
      </c>
      <c r="G516" s="6" t="s">
        <v>40</v>
      </c>
      <c r="H516" s="6" t="s">
        <v>40</v>
      </c>
      <c r="I516" s="6" t="s">
        <v>147</v>
      </c>
      <c r="J516" s="6" t="s">
        <v>40</v>
      </c>
      <c r="K516" s="6"/>
      <c r="L516" s="7">
        <v>45577</v>
      </c>
      <c r="M516" s="6" t="s">
        <v>25</v>
      </c>
      <c r="N516" s="8" t="s">
        <v>2162</v>
      </c>
      <c r="O516" s="6">
        <f>HYPERLINK("https://docs.wto.org/imrd/directdoc.asp?DDFDocuments/t/G/TBTN24/VNM312.DOCX", "https://docs.wto.org/imrd/directdoc.asp?DDFDocuments/t/G/TBTN24/VNM312.DOCX")</f>
      </c>
      <c r="P516" s="6">
        <f>HYPERLINK("https://docs.wto.org/imrd/directdoc.asp?DDFDocuments/u/G/TBTN24/VNM312.DOCX", "https://docs.wto.org/imrd/directdoc.asp?DDFDocuments/u/G/TBTN24/VNM312.DOCX")</f>
      </c>
      <c r="Q516" s="6">
        <f>HYPERLINK("https://docs.wto.org/imrd/directdoc.asp?DDFDocuments/v/G/TBTN24/VNM312.DOCX", "https://docs.wto.org/imrd/directdoc.asp?DDFDocuments/v/G/TBTN24/VNM312.DOCX")</f>
      </c>
    </row>
    <row r="517">
      <c r="A517" s="6" t="s">
        <v>17</v>
      </c>
      <c r="B517" s="7">
        <v>45517</v>
      </c>
      <c r="C517" s="6">
        <f>HYPERLINK("https://eping.wto.org/en/Search?viewData= G/TBT/N/KEN/1649"," G/TBT/N/KEN/1649")</f>
      </c>
      <c r="D517" s="8" t="s">
        <v>2163</v>
      </c>
      <c r="E517" s="8" t="s">
        <v>2164</v>
      </c>
      <c r="F517" s="8" t="s">
        <v>2165</v>
      </c>
      <c r="G517" s="6" t="s">
        <v>2166</v>
      </c>
      <c r="H517" s="6" t="s">
        <v>2167</v>
      </c>
      <c r="I517" s="6" t="s">
        <v>2168</v>
      </c>
      <c r="J517" s="6" t="s">
        <v>40</v>
      </c>
      <c r="K517" s="6"/>
      <c r="L517" s="7">
        <v>45577</v>
      </c>
      <c r="M517" s="6" t="s">
        <v>25</v>
      </c>
      <c r="N517" s="8" t="s">
        <v>2169</v>
      </c>
      <c r="O517" s="6">
        <f>HYPERLINK("https://docs.wto.org/imrd/directdoc.asp?DDFDocuments/t/G/TBTN24/KEN1649.DOCX", "https://docs.wto.org/imrd/directdoc.asp?DDFDocuments/t/G/TBTN24/KEN1649.DOCX")</f>
      </c>
      <c r="P517" s="6">
        <f>HYPERLINK("https://docs.wto.org/imrd/directdoc.asp?DDFDocuments/u/G/TBTN24/KEN1649.DOCX", "https://docs.wto.org/imrd/directdoc.asp?DDFDocuments/u/G/TBTN24/KEN1649.DOCX")</f>
      </c>
      <c r="Q517" s="6">
        <f>HYPERLINK("https://docs.wto.org/imrd/directdoc.asp?DDFDocuments/v/G/TBTN24/KEN1649.DOCX", "https://docs.wto.org/imrd/directdoc.asp?DDFDocuments/v/G/TBTN24/KEN1649.DOCX")</f>
      </c>
    </row>
    <row r="518">
      <c r="A518" s="6" t="s">
        <v>880</v>
      </c>
      <c r="B518" s="7">
        <v>45517</v>
      </c>
      <c r="C518" s="6">
        <f>HYPERLINK("https://eping.wto.org/en/Search?viewData= G/TBT/N/BDI/492, G/TBT/N/KEN/1652, G/TBT/N/RWA/1041, G/TBT/N/TZA/1155, G/TBT/N/UGA/1992"," G/TBT/N/BDI/492, G/TBT/N/KEN/1652, G/TBT/N/RWA/1041, G/TBT/N/TZA/1155, G/TBT/N/UGA/1992")</f>
      </c>
      <c r="D518" s="8" t="s">
        <v>2170</v>
      </c>
      <c r="E518" s="8" t="s">
        <v>2171</v>
      </c>
      <c r="F518" s="8" t="s">
        <v>2033</v>
      </c>
      <c r="G518" s="6" t="s">
        <v>2034</v>
      </c>
      <c r="H518" s="6" t="s">
        <v>2022</v>
      </c>
      <c r="I518" s="6" t="s">
        <v>886</v>
      </c>
      <c r="J518" s="6" t="s">
        <v>24</v>
      </c>
      <c r="K518" s="6"/>
      <c r="L518" s="7">
        <v>45577</v>
      </c>
      <c r="M518" s="6" t="s">
        <v>25</v>
      </c>
      <c r="N518" s="8" t="s">
        <v>2172</v>
      </c>
      <c r="O518" s="6">
        <f>HYPERLINK("https://docs.wto.org/imrd/directdoc.asp?DDFDocuments/t/G/TBTN24/BDI492.DOCX", "https://docs.wto.org/imrd/directdoc.asp?DDFDocuments/t/G/TBTN24/BDI492.DOCX")</f>
      </c>
      <c r="P518" s="6">
        <f>HYPERLINK("https://docs.wto.org/imrd/directdoc.asp?DDFDocuments/u/G/TBTN24/BDI492.DOCX", "https://docs.wto.org/imrd/directdoc.asp?DDFDocuments/u/G/TBTN24/BDI492.DOCX")</f>
      </c>
      <c r="Q518" s="6">
        <f>HYPERLINK("https://docs.wto.org/imrd/directdoc.asp?DDFDocuments/v/G/TBTN24/BDI492.DOCX", "https://docs.wto.org/imrd/directdoc.asp?DDFDocuments/v/G/TBTN24/BDI492.DOCX")</f>
      </c>
    </row>
    <row r="519">
      <c r="A519" s="6" t="s">
        <v>2041</v>
      </c>
      <c r="B519" s="7">
        <v>45517</v>
      </c>
      <c r="C519" s="6">
        <f>HYPERLINK("https://eping.wto.org/en/Search?viewData= G/TBT/N/BDI/492, G/TBT/N/KEN/1652, G/TBT/N/RWA/1041, G/TBT/N/TZA/1155, G/TBT/N/UGA/1992"," G/TBT/N/BDI/492, G/TBT/N/KEN/1652, G/TBT/N/RWA/1041, G/TBT/N/TZA/1155, G/TBT/N/UGA/1992")</f>
      </c>
      <c r="D519" s="8" t="s">
        <v>2170</v>
      </c>
      <c r="E519" s="8" t="s">
        <v>2171</v>
      </c>
      <c r="F519" s="8" t="s">
        <v>2033</v>
      </c>
      <c r="G519" s="6" t="s">
        <v>2034</v>
      </c>
      <c r="H519" s="6" t="s">
        <v>2022</v>
      </c>
      <c r="I519" s="6" t="s">
        <v>886</v>
      </c>
      <c r="J519" s="6" t="s">
        <v>24</v>
      </c>
      <c r="K519" s="6"/>
      <c r="L519" s="7">
        <v>45577</v>
      </c>
      <c r="M519" s="6" t="s">
        <v>25</v>
      </c>
      <c r="N519" s="8" t="s">
        <v>2172</v>
      </c>
      <c r="O519" s="6">
        <f>HYPERLINK("https://docs.wto.org/imrd/directdoc.asp?DDFDocuments/t/G/TBTN24/BDI492.DOCX", "https://docs.wto.org/imrd/directdoc.asp?DDFDocuments/t/G/TBTN24/BDI492.DOCX")</f>
      </c>
      <c r="P519" s="6">
        <f>HYPERLINK("https://docs.wto.org/imrd/directdoc.asp?DDFDocuments/u/G/TBTN24/BDI492.DOCX", "https://docs.wto.org/imrd/directdoc.asp?DDFDocuments/u/G/TBTN24/BDI492.DOCX")</f>
      </c>
      <c r="Q519" s="6">
        <f>HYPERLINK("https://docs.wto.org/imrd/directdoc.asp?DDFDocuments/v/G/TBTN24/BDI492.DOCX", "https://docs.wto.org/imrd/directdoc.asp?DDFDocuments/v/G/TBTN24/BDI492.DOCX")</f>
      </c>
    </row>
    <row r="520">
      <c r="A520" s="6" t="s">
        <v>2030</v>
      </c>
      <c r="B520" s="7">
        <v>45517</v>
      </c>
      <c r="C520" s="6">
        <f>HYPERLINK("https://eping.wto.org/en/Search?viewData= G/TBT/N/BDI/492, G/TBT/N/KEN/1652, G/TBT/N/RWA/1041, G/TBT/N/TZA/1155, G/TBT/N/UGA/1992"," G/TBT/N/BDI/492, G/TBT/N/KEN/1652, G/TBT/N/RWA/1041, G/TBT/N/TZA/1155, G/TBT/N/UGA/1992")</f>
      </c>
      <c r="D520" s="8" t="s">
        <v>2170</v>
      </c>
      <c r="E520" s="8" t="s">
        <v>2171</v>
      </c>
      <c r="F520" s="8" t="s">
        <v>2033</v>
      </c>
      <c r="G520" s="6" t="s">
        <v>2034</v>
      </c>
      <c r="H520" s="6" t="s">
        <v>2022</v>
      </c>
      <c r="I520" s="6" t="s">
        <v>886</v>
      </c>
      <c r="J520" s="6" t="s">
        <v>24</v>
      </c>
      <c r="K520" s="6"/>
      <c r="L520" s="7">
        <v>45577</v>
      </c>
      <c r="M520" s="6" t="s">
        <v>25</v>
      </c>
      <c r="N520" s="8" t="s">
        <v>2172</v>
      </c>
      <c r="O520" s="6">
        <f>HYPERLINK("https://docs.wto.org/imrd/directdoc.asp?DDFDocuments/t/G/TBTN24/BDI492.DOCX", "https://docs.wto.org/imrd/directdoc.asp?DDFDocuments/t/G/TBTN24/BDI492.DOCX")</f>
      </c>
      <c r="P520" s="6">
        <f>HYPERLINK("https://docs.wto.org/imrd/directdoc.asp?DDFDocuments/u/G/TBTN24/BDI492.DOCX", "https://docs.wto.org/imrd/directdoc.asp?DDFDocuments/u/G/TBTN24/BDI492.DOCX")</f>
      </c>
      <c r="Q520" s="6">
        <f>HYPERLINK("https://docs.wto.org/imrd/directdoc.asp?DDFDocuments/v/G/TBTN24/BDI492.DOCX", "https://docs.wto.org/imrd/directdoc.asp?DDFDocuments/v/G/TBTN24/BDI492.DOCX")</f>
      </c>
    </row>
    <row r="521">
      <c r="A521" s="6" t="s">
        <v>17</v>
      </c>
      <c r="B521" s="7">
        <v>45517</v>
      </c>
      <c r="C521" s="6">
        <f>HYPERLINK("https://eping.wto.org/en/Search?viewData= G/TBT/N/BDI/496, G/TBT/N/KEN/1656, G/TBT/N/RWA/1045, G/TBT/N/TZA/1159, G/TBT/N/UGA/1996"," G/TBT/N/BDI/496, G/TBT/N/KEN/1656, G/TBT/N/RWA/1045, G/TBT/N/TZA/1159, G/TBT/N/UGA/1996")</f>
      </c>
      <c r="D521" s="8" t="s">
        <v>2091</v>
      </c>
      <c r="E521" s="8" t="s">
        <v>2092</v>
      </c>
      <c r="F521" s="8" t="s">
        <v>2027</v>
      </c>
      <c r="G521" s="6" t="s">
        <v>2028</v>
      </c>
      <c r="H521" s="6" t="s">
        <v>2022</v>
      </c>
      <c r="I521" s="6" t="s">
        <v>886</v>
      </c>
      <c r="J521" s="6" t="s">
        <v>24</v>
      </c>
      <c r="K521" s="6"/>
      <c r="L521" s="7">
        <v>45577</v>
      </c>
      <c r="M521" s="6" t="s">
        <v>25</v>
      </c>
      <c r="N521" s="8" t="s">
        <v>2093</v>
      </c>
      <c r="O521" s="6">
        <f>HYPERLINK("https://docs.wto.org/imrd/directdoc.asp?DDFDocuments/t/G/TBTN24/BDI496.DOCX", "https://docs.wto.org/imrd/directdoc.asp?DDFDocuments/t/G/TBTN24/BDI496.DOCX")</f>
      </c>
      <c r="P521" s="6">
        <f>HYPERLINK("https://docs.wto.org/imrd/directdoc.asp?DDFDocuments/u/G/TBTN24/BDI496.DOCX", "https://docs.wto.org/imrd/directdoc.asp?DDFDocuments/u/G/TBTN24/BDI496.DOCX")</f>
      </c>
      <c r="Q521" s="6">
        <f>HYPERLINK("https://docs.wto.org/imrd/directdoc.asp?DDFDocuments/v/G/TBTN24/BDI496.DOCX", "https://docs.wto.org/imrd/directdoc.asp?DDFDocuments/v/G/TBTN24/BDI496.DOCX")</f>
      </c>
    </row>
    <row r="522">
      <c r="A522" s="6" t="s">
        <v>167</v>
      </c>
      <c r="B522" s="7">
        <v>45517</v>
      </c>
      <c r="C522" s="6">
        <f>HYPERLINK("https://eping.wto.org/en/Search?viewData= G/SPS/N/TUR/39/Rev.1"," G/SPS/N/TUR/39/Rev.1")</f>
      </c>
      <c r="D522" s="8" t="s">
        <v>2173</v>
      </c>
      <c r="E522" s="8" t="s">
        <v>2174</v>
      </c>
      <c r="F522" s="8" t="s">
        <v>2175</v>
      </c>
      <c r="G522" s="6" t="s">
        <v>2176</v>
      </c>
      <c r="H522" s="6" t="s">
        <v>40</v>
      </c>
      <c r="I522" s="6" t="s">
        <v>38</v>
      </c>
      <c r="J522" s="6" t="s">
        <v>39</v>
      </c>
      <c r="K522" s="6" t="s">
        <v>40</v>
      </c>
      <c r="L522" s="7">
        <v>45577</v>
      </c>
      <c r="M522" s="6" t="s">
        <v>214</v>
      </c>
      <c r="N522" s="8" t="s">
        <v>2177</v>
      </c>
      <c r="O522" s="6">
        <f>HYPERLINK("https://docs.wto.org/imrd/directdoc.asp?DDFDocuments/t/G/SPS/NTUR39R1.DOCX", "https://docs.wto.org/imrd/directdoc.asp?DDFDocuments/t/G/SPS/NTUR39R1.DOCX")</f>
      </c>
      <c r="P522" s="6">
        <f>HYPERLINK("https://docs.wto.org/imrd/directdoc.asp?DDFDocuments/u/G/SPS/NTUR39R1.DOCX", "https://docs.wto.org/imrd/directdoc.asp?DDFDocuments/u/G/SPS/NTUR39R1.DOCX")</f>
      </c>
      <c r="Q522" s="6">
        <f>HYPERLINK("https://docs.wto.org/imrd/directdoc.asp?DDFDocuments/v/G/SPS/NTUR39R1.DOCX", "https://docs.wto.org/imrd/directdoc.asp?DDFDocuments/v/G/SPS/NTUR39R1.DOCX")</f>
      </c>
    </row>
    <row r="523">
      <c r="A523" s="6" t="s">
        <v>880</v>
      </c>
      <c r="B523" s="7">
        <v>45517</v>
      </c>
      <c r="C523" s="6">
        <f>HYPERLINK("https://eping.wto.org/en/Search?viewData= G/SPS/N/BDI/114, G/SPS/N/KEN/293, G/SPS/N/RWA/107, G/SPS/N/TZA/372, G/SPS/N/UGA/365"," G/SPS/N/BDI/114, G/SPS/N/KEN/293, G/SPS/N/RWA/107, G/SPS/N/TZA/372, G/SPS/N/UGA/365")</f>
      </c>
      <c r="D523" s="8" t="s">
        <v>2042</v>
      </c>
      <c r="E523" s="8" t="s">
        <v>2043</v>
      </c>
      <c r="F523" s="8" t="s">
        <v>2020</v>
      </c>
      <c r="G523" s="6" t="s">
        <v>2101</v>
      </c>
      <c r="H523" s="6" t="s">
        <v>2022</v>
      </c>
      <c r="I523" s="6" t="s">
        <v>38</v>
      </c>
      <c r="J523" s="6" t="s">
        <v>60</v>
      </c>
      <c r="K523" s="6" t="s">
        <v>40</v>
      </c>
      <c r="L523" s="7">
        <v>45577</v>
      </c>
      <c r="M523" s="6" t="s">
        <v>25</v>
      </c>
      <c r="N523" s="8" t="s">
        <v>2044</v>
      </c>
      <c r="O523" s="6">
        <f>HYPERLINK("https://docs.wto.org/imrd/directdoc.asp?DDFDocuments/t/G/SPS/NBDI114.DOCX", "https://docs.wto.org/imrd/directdoc.asp?DDFDocuments/t/G/SPS/NBDI114.DOCX")</f>
      </c>
      <c r="P523" s="6">
        <f>HYPERLINK("https://docs.wto.org/imrd/directdoc.asp?DDFDocuments/u/G/SPS/NBDI114.DOCX", "https://docs.wto.org/imrd/directdoc.asp?DDFDocuments/u/G/SPS/NBDI114.DOCX")</f>
      </c>
      <c r="Q523" s="6">
        <f>HYPERLINK("https://docs.wto.org/imrd/directdoc.asp?DDFDocuments/v/G/SPS/NBDI114.DOCX", "https://docs.wto.org/imrd/directdoc.asp?DDFDocuments/v/G/SPS/NBDI114.DOCX")</f>
      </c>
    </row>
    <row r="524">
      <c r="A524" s="6" t="s">
        <v>2030</v>
      </c>
      <c r="B524" s="7">
        <v>45517</v>
      </c>
      <c r="C524" s="6">
        <f>HYPERLINK("https://eping.wto.org/en/Search?viewData= G/TBT/N/BDI/494, G/TBT/N/KEN/1654, G/TBT/N/RWA/1043, G/TBT/N/TZA/1157, G/TBT/N/UGA/1994"," G/TBT/N/BDI/494, G/TBT/N/KEN/1654, G/TBT/N/RWA/1043, G/TBT/N/TZA/1157, G/TBT/N/UGA/1994")</f>
      </c>
      <c r="D524" s="8" t="s">
        <v>2098</v>
      </c>
      <c r="E524" s="8" t="s">
        <v>2099</v>
      </c>
      <c r="F524" s="8" t="s">
        <v>2100</v>
      </c>
      <c r="G524" s="6" t="s">
        <v>2021</v>
      </c>
      <c r="H524" s="6" t="s">
        <v>2022</v>
      </c>
      <c r="I524" s="6" t="s">
        <v>2102</v>
      </c>
      <c r="J524" s="6" t="s">
        <v>24</v>
      </c>
      <c r="K524" s="6"/>
      <c r="L524" s="7">
        <v>45577</v>
      </c>
      <c r="M524" s="6" t="s">
        <v>25</v>
      </c>
      <c r="N524" s="8" t="s">
        <v>2103</v>
      </c>
      <c r="O524" s="6">
        <f>HYPERLINK("https://docs.wto.org/imrd/directdoc.asp?DDFDocuments/t/G/TBTN24/BDI494.DOCX", "https://docs.wto.org/imrd/directdoc.asp?DDFDocuments/t/G/TBTN24/BDI494.DOCX")</f>
      </c>
      <c r="P524" s="6">
        <f>HYPERLINK("https://docs.wto.org/imrd/directdoc.asp?DDFDocuments/u/G/TBTN24/BDI494.DOCX", "https://docs.wto.org/imrd/directdoc.asp?DDFDocuments/u/G/TBTN24/BDI494.DOCX")</f>
      </c>
      <c r="Q524" s="6">
        <f>HYPERLINK("https://docs.wto.org/imrd/directdoc.asp?DDFDocuments/v/G/TBTN24/BDI494.DOCX", "https://docs.wto.org/imrd/directdoc.asp?DDFDocuments/v/G/TBTN24/BDI494.DOCX")</f>
      </c>
    </row>
    <row r="525">
      <c r="A525" s="6" t="s">
        <v>2030</v>
      </c>
      <c r="B525" s="7">
        <v>45517</v>
      </c>
      <c r="C525" s="6">
        <f>HYPERLINK("https://eping.wto.org/en/Search?viewData= G/TBT/N/UGA/1985"," G/TBT/N/UGA/1985")</f>
      </c>
      <c r="D525" s="8" t="s">
        <v>2178</v>
      </c>
      <c r="E525" s="8" t="s">
        <v>2179</v>
      </c>
      <c r="F525" s="8" t="s">
        <v>2180</v>
      </c>
      <c r="G525" s="6" t="s">
        <v>2181</v>
      </c>
      <c r="H525" s="6" t="s">
        <v>1972</v>
      </c>
      <c r="I525" s="6" t="s">
        <v>81</v>
      </c>
      <c r="J525" s="6" t="s">
        <v>24</v>
      </c>
      <c r="K525" s="6"/>
      <c r="L525" s="7">
        <v>45577</v>
      </c>
      <c r="M525" s="6" t="s">
        <v>25</v>
      </c>
      <c r="N525" s="8" t="s">
        <v>2182</v>
      </c>
      <c r="O525" s="6">
        <f>HYPERLINK("https://docs.wto.org/imrd/directdoc.asp?DDFDocuments/t/G/TBTN24/UGA1985.DOCX", "https://docs.wto.org/imrd/directdoc.asp?DDFDocuments/t/G/TBTN24/UGA1985.DOCX")</f>
      </c>
      <c r="P525" s="6">
        <f>HYPERLINK("https://docs.wto.org/imrd/directdoc.asp?DDFDocuments/u/G/TBTN24/UGA1985.DOCX", "https://docs.wto.org/imrd/directdoc.asp?DDFDocuments/u/G/TBTN24/UGA1985.DOCX")</f>
      </c>
      <c r="Q525" s="6">
        <f>HYPERLINK("https://docs.wto.org/imrd/directdoc.asp?DDFDocuments/v/G/TBTN24/UGA1985.DOCX", "https://docs.wto.org/imrd/directdoc.asp?DDFDocuments/v/G/TBTN24/UGA1985.DOCX")</f>
      </c>
    </row>
    <row r="526">
      <c r="A526" s="6" t="s">
        <v>167</v>
      </c>
      <c r="B526" s="7">
        <v>45517</v>
      </c>
      <c r="C526" s="6">
        <f>HYPERLINK("https://eping.wto.org/en/Search?viewData= G/TBT/N/TUR/48/Rev.1"," G/TBT/N/TUR/48/Rev.1")</f>
      </c>
      <c r="D526" s="8" t="s">
        <v>2183</v>
      </c>
      <c r="E526" s="8" t="s">
        <v>2174</v>
      </c>
      <c r="F526" s="8" t="s">
        <v>2175</v>
      </c>
      <c r="G526" s="6" t="s">
        <v>40</v>
      </c>
      <c r="H526" s="6" t="s">
        <v>2184</v>
      </c>
      <c r="I526" s="6" t="s">
        <v>147</v>
      </c>
      <c r="J526" s="6" t="s">
        <v>24</v>
      </c>
      <c r="K526" s="6"/>
      <c r="L526" s="7">
        <v>45577</v>
      </c>
      <c r="M526" s="6" t="s">
        <v>214</v>
      </c>
      <c r="N526" s="8" t="s">
        <v>2185</v>
      </c>
      <c r="O526" s="6">
        <f>HYPERLINK("https://docs.wto.org/imrd/directdoc.asp?DDFDocuments/t/G/TBTN14/TUR48R1.DOCX", "https://docs.wto.org/imrd/directdoc.asp?DDFDocuments/t/G/TBTN14/TUR48R1.DOCX")</f>
      </c>
      <c r="P526" s="6">
        <f>HYPERLINK("https://docs.wto.org/imrd/directdoc.asp?DDFDocuments/u/G/TBTN14/TUR48R1.DOCX", "https://docs.wto.org/imrd/directdoc.asp?DDFDocuments/u/G/TBTN14/TUR48R1.DOCX")</f>
      </c>
      <c r="Q526" s="6">
        <f>HYPERLINK("https://docs.wto.org/imrd/directdoc.asp?DDFDocuments/v/G/TBTN14/TUR48R1.DOCX", "https://docs.wto.org/imrd/directdoc.asp?DDFDocuments/v/G/TBTN14/TUR48R1.DOCX")</f>
      </c>
    </row>
    <row r="527">
      <c r="A527" s="6" t="s">
        <v>2030</v>
      </c>
      <c r="B527" s="7">
        <v>45517</v>
      </c>
      <c r="C527" s="6">
        <f>HYPERLINK("https://eping.wto.org/en/Search?viewData= G/TBT/N/UGA/1982"," G/TBT/N/UGA/1982")</f>
      </c>
      <c r="D527" s="8" t="s">
        <v>2186</v>
      </c>
      <c r="E527" s="8" t="s">
        <v>2187</v>
      </c>
      <c r="F527" s="8" t="s">
        <v>2188</v>
      </c>
      <c r="G527" s="6" t="s">
        <v>2189</v>
      </c>
      <c r="H527" s="6" t="s">
        <v>22</v>
      </c>
      <c r="I527" s="6" t="s">
        <v>81</v>
      </c>
      <c r="J527" s="6" t="s">
        <v>24</v>
      </c>
      <c r="K527" s="6"/>
      <c r="L527" s="7">
        <v>45577</v>
      </c>
      <c r="M527" s="6" t="s">
        <v>25</v>
      </c>
      <c r="N527" s="8" t="s">
        <v>2190</v>
      </c>
      <c r="O527" s="6">
        <f>HYPERLINK("https://docs.wto.org/imrd/directdoc.asp?DDFDocuments/t/G/TBTN24/UGA1982.DOCX", "https://docs.wto.org/imrd/directdoc.asp?DDFDocuments/t/G/TBTN24/UGA1982.DOCX")</f>
      </c>
      <c r="P527" s="6">
        <f>HYPERLINK("https://docs.wto.org/imrd/directdoc.asp?DDFDocuments/u/G/TBTN24/UGA1982.DOCX", "https://docs.wto.org/imrd/directdoc.asp?DDFDocuments/u/G/TBTN24/UGA1982.DOCX")</f>
      </c>
      <c r="Q527" s="6">
        <f>HYPERLINK("https://docs.wto.org/imrd/directdoc.asp?DDFDocuments/v/G/TBTN24/UGA1982.DOCX", "https://docs.wto.org/imrd/directdoc.asp?DDFDocuments/v/G/TBTN24/UGA1982.DOCX")</f>
      </c>
    </row>
    <row r="528">
      <c r="A528" s="6" t="s">
        <v>2030</v>
      </c>
      <c r="B528" s="7">
        <v>45517</v>
      </c>
      <c r="C528" s="6">
        <f>HYPERLINK("https://eping.wto.org/en/Search?viewData= G/TBT/N/UGA/1981"," G/TBT/N/UGA/1981")</f>
      </c>
      <c r="D528" s="8" t="s">
        <v>2191</v>
      </c>
      <c r="E528" s="8" t="s">
        <v>2192</v>
      </c>
      <c r="F528" s="8" t="s">
        <v>2193</v>
      </c>
      <c r="G528" s="6" t="s">
        <v>2083</v>
      </c>
      <c r="H528" s="6" t="s">
        <v>22</v>
      </c>
      <c r="I528" s="6" t="s">
        <v>81</v>
      </c>
      <c r="J528" s="6" t="s">
        <v>24</v>
      </c>
      <c r="K528" s="6"/>
      <c r="L528" s="7">
        <v>45577</v>
      </c>
      <c r="M528" s="6" t="s">
        <v>25</v>
      </c>
      <c r="N528" s="8" t="s">
        <v>2194</v>
      </c>
      <c r="O528" s="6">
        <f>HYPERLINK("https://docs.wto.org/imrd/directdoc.asp?DDFDocuments/t/G/TBTN24/UGA1981.DOCX", "https://docs.wto.org/imrd/directdoc.asp?DDFDocuments/t/G/TBTN24/UGA1981.DOCX")</f>
      </c>
      <c r="P528" s="6">
        <f>HYPERLINK("https://docs.wto.org/imrd/directdoc.asp?DDFDocuments/u/G/TBTN24/UGA1981.DOCX", "https://docs.wto.org/imrd/directdoc.asp?DDFDocuments/u/G/TBTN24/UGA1981.DOCX")</f>
      </c>
      <c r="Q528" s="6">
        <f>HYPERLINK("https://docs.wto.org/imrd/directdoc.asp?DDFDocuments/v/G/TBTN24/UGA1981.DOCX", "https://docs.wto.org/imrd/directdoc.asp?DDFDocuments/v/G/TBTN24/UGA1981.DOCX")</f>
      </c>
    </row>
    <row r="529">
      <c r="A529" s="6" t="s">
        <v>17</v>
      </c>
      <c r="B529" s="7">
        <v>45517</v>
      </c>
      <c r="C529" s="6">
        <f>HYPERLINK("https://eping.wto.org/en/Search?viewData= G/TBT/N/KEN/1650"," G/TBT/N/KEN/1650")</f>
      </c>
      <c r="D529" s="8" t="s">
        <v>2195</v>
      </c>
      <c r="E529" s="8" t="s">
        <v>2196</v>
      </c>
      <c r="F529" s="8" t="s">
        <v>2197</v>
      </c>
      <c r="G529" s="6" t="s">
        <v>2198</v>
      </c>
      <c r="H529" s="6" t="s">
        <v>2199</v>
      </c>
      <c r="I529" s="6" t="s">
        <v>265</v>
      </c>
      <c r="J529" s="6" t="s">
        <v>40</v>
      </c>
      <c r="K529" s="6"/>
      <c r="L529" s="7">
        <v>45577</v>
      </c>
      <c r="M529" s="6" t="s">
        <v>25</v>
      </c>
      <c r="N529" s="8" t="s">
        <v>2200</v>
      </c>
      <c r="O529" s="6">
        <f>HYPERLINK("https://docs.wto.org/imrd/directdoc.asp?DDFDocuments/t/G/TBTN24/KEN1650.DOCX", "https://docs.wto.org/imrd/directdoc.asp?DDFDocuments/t/G/TBTN24/KEN1650.DOCX")</f>
      </c>
      <c r="P529" s="6">
        <f>HYPERLINK("https://docs.wto.org/imrd/directdoc.asp?DDFDocuments/u/G/TBTN24/KEN1650.DOCX", "https://docs.wto.org/imrd/directdoc.asp?DDFDocuments/u/G/TBTN24/KEN1650.DOCX")</f>
      </c>
      <c r="Q529" s="6">
        <f>HYPERLINK("https://docs.wto.org/imrd/directdoc.asp?DDFDocuments/v/G/TBTN24/KEN1650.DOCX", "https://docs.wto.org/imrd/directdoc.asp?DDFDocuments/v/G/TBTN24/KEN1650.DOCX")</f>
      </c>
    </row>
    <row r="530">
      <c r="A530" s="6" t="s">
        <v>160</v>
      </c>
      <c r="B530" s="7">
        <v>45517</v>
      </c>
      <c r="C530" s="6">
        <f>HYPERLINK("https://eping.wto.org/en/Search?viewData= G/TBT/N/USA/2123/Add.1"," G/TBT/N/USA/2123/Add.1")</f>
      </c>
      <c r="D530" s="8" t="s">
        <v>2201</v>
      </c>
      <c r="E530" s="8" t="s">
        <v>2202</v>
      </c>
      <c r="F530" s="8" t="s">
        <v>2203</v>
      </c>
      <c r="G530" s="6" t="s">
        <v>40</v>
      </c>
      <c r="H530" s="6" t="s">
        <v>2204</v>
      </c>
      <c r="I530" s="6" t="s">
        <v>165</v>
      </c>
      <c r="J530" s="6" t="s">
        <v>40</v>
      </c>
      <c r="K530" s="6"/>
      <c r="L530" s="7" t="s">
        <v>40</v>
      </c>
      <c r="M530" s="6" t="s">
        <v>76</v>
      </c>
      <c r="N530" s="8" t="s">
        <v>2205</v>
      </c>
      <c r="O530" s="6">
        <f>HYPERLINK("https://docs.wto.org/imrd/directdoc.asp?DDFDocuments/t/G/TBTN24/USA2123A1.DOCX", "https://docs.wto.org/imrd/directdoc.asp?DDFDocuments/t/G/TBTN24/USA2123A1.DOCX")</f>
      </c>
      <c r="P530" s="6">
        <f>HYPERLINK("https://docs.wto.org/imrd/directdoc.asp?DDFDocuments/u/G/TBTN24/USA2123A1.DOCX", "https://docs.wto.org/imrd/directdoc.asp?DDFDocuments/u/G/TBTN24/USA2123A1.DOCX")</f>
      </c>
      <c r="Q530" s="6">
        <f>HYPERLINK("https://docs.wto.org/imrd/directdoc.asp?DDFDocuments/v/G/TBTN24/USA2123A1.DOCX", "https://docs.wto.org/imrd/directdoc.asp?DDFDocuments/v/G/TBTN24/USA2123A1.DOCX")</f>
      </c>
    </row>
    <row r="531">
      <c r="A531" s="6" t="s">
        <v>2030</v>
      </c>
      <c r="B531" s="7">
        <v>45517</v>
      </c>
      <c r="C531" s="6">
        <f>HYPERLINK("https://eping.wto.org/en/Search?viewData= G/TBT/N/BDI/496, G/TBT/N/KEN/1656, G/TBT/N/RWA/1045, G/TBT/N/TZA/1159, G/TBT/N/UGA/1996"," G/TBT/N/BDI/496, G/TBT/N/KEN/1656, G/TBT/N/RWA/1045, G/TBT/N/TZA/1159, G/TBT/N/UGA/1996")</f>
      </c>
      <c r="D531" s="8" t="s">
        <v>2091</v>
      </c>
      <c r="E531" s="8" t="s">
        <v>2092</v>
      </c>
      <c r="F531" s="8" t="s">
        <v>2027</v>
      </c>
      <c r="G531" s="6" t="s">
        <v>2028</v>
      </c>
      <c r="H531" s="6" t="s">
        <v>2022</v>
      </c>
      <c r="I531" s="6" t="s">
        <v>886</v>
      </c>
      <c r="J531" s="6" t="s">
        <v>24</v>
      </c>
      <c r="K531" s="6"/>
      <c r="L531" s="7">
        <v>45577</v>
      </c>
      <c r="M531" s="6" t="s">
        <v>25</v>
      </c>
      <c r="N531" s="8" t="s">
        <v>2093</v>
      </c>
      <c r="O531" s="6">
        <f>HYPERLINK("https://docs.wto.org/imrd/directdoc.asp?DDFDocuments/t/G/TBTN24/BDI496.DOCX", "https://docs.wto.org/imrd/directdoc.asp?DDFDocuments/t/G/TBTN24/BDI496.DOCX")</f>
      </c>
      <c r="P531" s="6">
        <f>HYPERLINK("https://docs.wto.org/imrd/directdoc.asp?DDFDocuments/u/G/TBTN24/BDI496.DOCX", "https://docs.wto.org/imrd/directdoc.asp?DDFDocuments/u/G/TBTN24/BDI496.DOCX")</f>
      </c>
      <c r="Q531" s="6">
        <f>HYPERLINK("https://docs.wto.org/imrd/directdoc.asp?DDFDocuments/v/G/TBTN24/BDI496.DOCX", "https://docs.wto.org/imrd/directdoc.asp?DDFDocuments/v/G/TBTN24/BDI496.DOCX")</f>
      </c>
    </row>
    <row r="532">
      <c r="A532" s="6" t="s">
        <v>2030</v>
      </c>
      <c r="B532" s="7">
        <v>45517</v>
      </c>
      <c r="C532" s="6">
        <f>HYPERLINK("https://eping.wto.org/en/Search?viewData= G/SPS/N/BDI/115, G/SPS/N/KEN/294, G/SPS/N/RWA/108, G/SPS/N/TZA/373, G/SPS/N/UGA/366"," G/SPS/N/BDI/115, G/SPS/N/KEN/294, G/SPS/N/RWA/108, G/SPS/N/TZA/373, G/SPS/N/UGA/366")</f>
      </c>
      <c r="D532" s="8" t="s">
        <v>2108</v>
      </c>
      <c r="E532" s="8" t="s">
        <v>2109</v>
      </c>
      <c r="F532" s="8" t="s">
        <v>2074</v>
      </c>
      <c r="G532" s="6" t="s">
        <v>2075</v>
      </c>
      <c r="H532" s="6" t="s">
        <v>2022</v>
      </c>
      <c r="I532" s="6" t="s">
        <v>38</v>
      </c>
      <c r="J532" s="6" t="s">
        <v>39</v>
      </c>
      <c r="K532" s="6" t="s">
        <v>40</v>
      </c>
      <c r="L532" s="7">
        <v>45577</v>
      </c>
      <c r="M532" s="6" t="s">
        <v>25</v>
      </c>
      <c r="N532" s="8" t="s">
        <v>2110</v>
      </c>
      <c r="O532" s="6">
        <f>HYPERLINK("https://docs.wto.org/imrd/directdoc.asp?DDFDocuments/t/G/SPS/NBDI115.DOCX", "https://docs.wto.org/imrd/directdoc.asp?DDFDocuments/t/G/SPS/NBDI115.DOCX")</f>
      </c>
      <c r="P532" s="6">
        <f>HYPERLINK("https://docs.wto.org/imrd/directdoc.asp?DDFDocuments/u/G/SPS/NBDI115.DOCX", "https://docs.wto.org/imrd/directdoc.asp?DDFDocuments/u/G/SPS/NBDI115.DOCX")</f>
      </c>
      <c r="Q532" s="6">
        <f>HYPERLINK("https://docs.wto.org/imrd/directdoc.asp?DDFDocuments/v/G/SPS/NBDI115.DOCX", "https://docs.wto.org/imrd/directdoc.asp?DDFDocuments/v/G/SPS/NBDI115.DOCX")</f>
      </c>
    </row>
    <row r="533">
      <c r="A533" s="6" t="s">
        <v>2041</v>
      </c>
      <c r="B533" s="7">
        <v>45517</v>
      </c>
      <c r="C533" s="6">
        <f>HYPERLINK("https://eping.wto.org/en/Search?viewData= G/TBT/N/BDI/495, G/TBT/N/KEN/1655, G/TBT/N/RWA/1044, G/TBT/N/TZA/1158, G/TBT/N/UGA/1995"," G/TBT/N/BDI/495, G/TBT/N/KEN/1655, G/TBT/N/RWA/1044, G/TBT/N/TZA/1158, G/TBT/N/UGA/1995")</f>
      </c>
      <c r="D533" s="8" t="s">
        <v>2036</v>
      </c>
      <c r="E533" s="8" t="s">
        <v>2037</v>
      </c>
      <c r="F533" s="8" t="s">
        <v>2038</v>
      </c>
      <c r="G533" s="6" t="s">
        <v>2039</v>
      </c>
      <c r="H533" s="6" t="s">
        <v>2022</v>
      </c>
      <c r="I533" s="6" t="s">
        <v>886</v>
      </c>
      <c r="J533" s="6" t="s">
        <v>24</v>
      </c>
      <c r="K533" s="6"/>
      <c r="L533" s="7">
        <v>45577</v>
      </c>
      <c r="M533" s="6" t="s">
        <v>25</v>
      </c>
      <c r="N533" s="8" t="s">
        <v>2040</v>
      </c>
      <c r="O533" s="6">
        <f>HYPERLINK("https://docs.wto.org/imrd/directdoc.asp?DDFDocuments/t/G/TBTN24/BDI495.DOCX", "https://docs.wto.org/imrd/directdoc.asp?DDFDocuments/t/G/TBTN24/BDI495.DOCX")</f>
      </c>
      <c r="P533" s="6">
        <f>HYPERLINK("https://docs.wto.org/imrd/directdoc.asp?DDFDocuments/u/G/TBTN24/BDI495.DOCX", "https://docs.wto.org/imrd/directdoc.asp?DDFDocuments/u/G/TBTN24/BDI495.DOCX")</f>
      </c>
      <c r="Q533" s="6">
        <f>HYPERLINK("https://docs.wto.org/imrd/directdoc.asp?DDFDocuments/v/G/TBTN24/BDI495.DOCX", "https://docs.wto.org/imrd/directdoc.asp?DDFDocuments/v/G/TBTN24/BDI495.DOCX")</f>
      </c>
    </row>
    <row r="534">
      <c r="A534" s="6" t="s">
        <v>2024</v>
      </c>
      <c r="B534" s="7">
        <v>45517</v>
      </c>
      <c r="C534" s="6">
        <f>HYPERLINK("https://eping.wto.org/en/Search?viewData= G/SPS/N/BDI/115, G/SPS/N/KEN/294, G/SPS/N/RWA/108, G/SPS/N/TZA/373, G/SPS/N/UGA/366"," G/SPS/N/BDI/115, G/SPS/N/KEN/294, G/SPS/N/RWA/108, G/SPS/N/TZA/373, G/SPS/N/UGA/366")</f>
      </c>
      <c r="D534" s="8" t="s">
        <v>2108</v>
      </c>
      <c r="E534" s="8" t="s">
        <v>2109</v>
      </c>
      <c r="F534" s="8" t="s">
        <v>2074</v>
      </c>
      <c r="G534" s="6" t="s">
        <v>2075</v>
      </c>
      <c r="H534" s="6" t="s">
        <v>2022</v>
      </c>
      <c r="I534" s="6" t="s">
        <v>38</v>
      </c>
      <c r="J534" s="6" t="s">
        <v>39</v>
      </c>
      <c r="K534" s="6" t="s">
        <v>40</v>
      </c>
      <c r="L534" s="7">
        <v>45577</v>
      </c>
      <c r="M534" s="6" t="s">
        <v>25</v>
      </c>
      <c r="N534" s="8" t="s">
        <v>2110</v>
      </c>
      <c r="O534" s="6">
        <f>HYPERLINK("https://docs.wto.org/imrd/directdoc.asp?DDFDocuments/t/G/SPS/NBDI115.DOCX", "https://docs.wto.org/imrd/directdoc.asp?DDFDocuments/t/G/SPS/NBDI115.DOCX")</f>
      </c>
      <c r="P534" s="6">
        <f>HYPERLINK("https://docs.wto.org/imrd/directdoc.asp?DDFDocuments/u/G/SPS/NBDI115.DOCX", "https://docs.wto.org/imrd/directdoc.asp?DDFDocuments/u/G/SPS/NBDI115.DOCX")</f>
      </c>
      <c r="Q534" s="6">
        <f>HYPERLINK("https://docs.wto.org/imrd/directdoc.asp?DDFDocuments/v/G/SPS/NBDI115.DOCX", "https://docs.wto.org/imrd/directdoc.asp?DDFDocuments/v/G/SPS/NBDI115.DOCX")</f>
      </c>
    </row>
    <row r="535">
      <c r="A535" s="6" t="s">
        <v>2030</v>
      </c>
      <c r="B535" s="7">
        <v>45517</v>
      </c>
      <c r="C535" s="6">
        <f>HYPERLINK("https://eping.wto.org/en/Search?viewData= G/TBT/N/UGA/1986"," G/TBT/N/UGA/1986")</f>
      </c>
      <c r="D535" s="8" t="s">
        <v>2206</v>
      </c>
      <c r="E535" s="8" t="s">
        <v>2207</v>
      </c>
      <c r="F535" s="8" t="s">
        <v>2208</v>
      </c>
      <c r="G535" s="6" t="s">
        <v>851</v>
      </c>
      <c r="H535" s="6" t="s">
        <v>1972</v>
      </c>
      <c r="I535" s="6" t="s">
        <v>81</v>
      </c>
      <c r="J535" s="6" t="s">
        <v>24</v>
      </c>
      <c r="K535" s="6"/>
      <c r="L535" s="7">
        <v>45577</v>
      </c>
      <c r="M535" s="6" t="s">
        <v>25</v>
      </c>
      <c r="N535" s="8" t="s">
        <v>2209</v>
      </c>
      <c r="O535" s="6">
        <f>HYPERLINK("https://docs.wto.org/imrd/directdoc.asp?DDFDocuments/t/G/TBTN24/UGA1986.DOCX", "https://docs.wto.org/imrd/directdoc.asp?DDFDocuments/t/G/TBTN24/UGA1986.DOCX")</f>
      </c>
      <c r="P535" s="6">
        <f>HYPERLINK("https://docs.wto.org/imrd/directdoc.asp?DDFDocuments/u/G/TBTN24/UGA1986.DOCX", "https://docs.wto.org/imrd/directdoc.asp?DDFDocuments/u/G/TBTN24/UGA1986.DOCX")</f>
      </c>
      <c r="Q535" s="6">
        <f>HYPERLINK("https://docs.wto.org/imrd/directdoc.asp?DDFDocuments/v/G/TBTN24/UGA1986.DOCX", "https://docs.wto.org/imrd/directdoc.asp?DDFDocuments/v/G/TBTN24/UGA1986.DOCX")</f>
      </c>
    </row>
    <row r="536">
      <c r="A536" s="6" t="s">
        <v>17</v>
      </c>
      <c r="B536" s="7">
        <v>45517</v>
      </c>
      <c r="C536" s="6">
        <f>HYPERLINK("https://eping.wto.org/en/Search?viewData= G/TBT/N/KEN/1648"," G/TBT/N/KEN/1648")</f>
      </c>
      <c r="D536" s="8" t="s">
        <v>2210</v>
      </c>
      <c r="E536" s="8" t="s">
        <v>2211</v>
      </c>
      <c r="F536" s="8" t="s">
        <v>2212</v>
      </c>
      <c r="G536" s="6" t="s">
        <v>2213</v>
      </c>
      <c r="H536" s="6" t="s">
        <v>2214</v>
      </c>
      <c r="I536" s="6" t="s">
        <v>2168</v>
      </c>
      <c r="J536" s="6" t="s">
        <v>40</v>
      </c>
      <c r="K536" s="6"/>
      <c r="L536" s="7">
        <v>45577</v>
      </c>
      <c r="M536" s="6" t="s">
        <v>25</v>
      </c>
      <c r="N536" s="8" t="s">
        <v>2215</v>
      </c>
      <c r="O536" s="6">
        <f>HYPERLINK("https://docs.wto.org/imrd/directdoc.asp?DDFDocuments/t/G/TBTN24/KEN1648.DOCX", "https://docs.wto.org/imrd/directdoc.asp?DDFDocuments/t/G/TBTN24/KEN1648.DOCX")</f>
      </c>
      <c r="P536" s="6">
        <f>HYPERLINK("https://docs.wto.org/imrd/directdoc.asp?DDFDocuments/u/G/TBTN24/KEN1648.DOCX", "https://docs.wto.org/imrd/directdoc.asp?DDFDocuments/u/G/TBTN24/KEN1648.DOCX")</f>
      </c>
      <c r="Q536" s="6">
        <f>HYPERLINK("https://docs.wto.org/imrd/directdoc.asp?DDFDocuments/v/G/TBTN24/KEN1648.DOCX", "https://docs.wto.org/imrd/directdoc.asp?DDFDocuments/v/G/TBTN24/KEN1648.DOCX")</f>
      </c>
    </row>
    <row r="537">
      <c r="A537" s="6" t="s">
        <v>392</v>
      </c>
      <c r="B537" s="7">
        <v>45517</v>
      </c>
      <c r="C537" s="6">
        <f>HYPERLINK("https://eping.wto.org/en/Search?viewData= G/TBT/N/SAU/1343"," G/TBT/N/SAU/1343")</f>
      </c>
      <c r="D537" s="8" t="s">
        <v>2216</v>
      </c>
      <c r="E537" s="8" t="s">
        <v>2217</v>
      </c>
      <c r="F537" s="8" t="s">
        <v>2087</v>
      </c>
      <c r="G537" s="6" t="s">
        <v>40</v>
      </c>
      <c r="H537" s="6" t="s">
        <v>2088</v>
      </c>
      <c r="I537" s="6" t="s">
        <v>2089</v>
      </c>
      <c r="J537" s="6" t="s">
        <v>40</v>
      </c>
      <c r="K537" s="6"/>
      <c r="L537" s="7">
        <v>45577</v>
      </c>
      <c r="M537" s="6" t="s">
        <v>25</v>
      </c>
      <c r="N537" s="8" t="s">
        <v>2218</v>
      </c>
      <c r="O537" s="6">
        <f>HYPERLINK("https://docs.wto.org/imrd/directdoc.asp?DDFDocuments/t/G/TBTN24/SAU1343.DOCX", "https://docs.wto.org/imrd/directdoc.asp?DDFDocuments/t/G/TBTN24/SAU1343.DOCX")</f>
      </c>
      <c r="P537" s="6">
        <f>HYPERLINK("https://docs.wto.org/imrd/directdoc.asp?DDFDocuments/u/G/TBTN24/SAU1343.DOCX", "https://docs.wto.org/imrd/directdoc.asp?DDFDocuments/u/G/TBTN24/SAU1343.DOCX")</f>
      </c>
      <c r="Q537" s="6">
        <f>HYPERLINK("https://docs.wto.org/imrd/directdoc.asp?DDFDocuments/v/G/TBTN24/SAU1343.DOCX", "https://docs.wto.org/imrd/directdoc.asp?DDFDocuments/v/G/TBTN24/SAU1343.DOCX")</f>
      </c>
    </row>
    <row r="538">
      <c r="A538" s="6" t="s">
        <v>2024</v>
      </c>
      <c r="B538" s="7">
        <v>45517</v>
      </c>
      <c r="C538" s="6">
        <f>HYPERLINK("https://eping.wto.org/en/Search?viewData= G/SPS/N/BDI/114, G/SPS/N/KEN/293, G/SPS/N/RWA/107, G/SPS/N/TZA/372, G/SPS/N/UGA/365"," G/SPS/N/BDI/114, G/SPS/N/KEN/293, G/SPS/N/RWA/107, G/SPS/N/TZA/372, G/SPS/N/UGA/365")</f>
      </c>
      <c r="D538" s="8" t="s">
        <v>2042</v>
      </c>
      <c r="E538" s="8" t="s">
        <v>2043</v>
      </c>
      <c r="F538" s="8" t="s">
        <v>2020</v>
      </c>
      <c r="G538" s="6" t="s">
        <v>2021</v>
      </c>
      <c r="H538" s="6" t="s">
        <v>2022</v>
      </c>
      <c r="I538" s="6" t="s">
        <v>38</v>
      </c>
      <c r="J538" s="6" t="s">
        <v>39</v>
      </c>
      <c r="K538" s="6" t="s">
        <v>40</v>
      </c>
      <c r="L538" s="7">
        <v>45577</v>
      </c>
      <c r="M538" s="6" t="s">
        <v>25</v>
      </c>
      <c r="N538" s="8" t="s">
        <v>2044</v>
      </c>
      <c r="O538" s="6">
        <f>HYPERLINK("https://docs.wto.org/imrd/directdoc.asp?DDFDocuments/t/G/SPS/NBDI114.DOCX", "https://docs.wto.org/imrd/directdoc.asp?DDFDocuments/t/G/SPS/NBDI114.DOCX")</f>
      </c>
      <c r="P538" s="6">
        <f>HYPERLINK("https://docs.wto.org/imrd/directdoc.asp?DDFDocuments/u/G/SPS/NBDI114.DOCX", "https://docs.wto.org/imrd/directdoc.asp?DDFDocuments/u/G/SPS/NBDI114.DOCX")</f>
      </c>
      <c r="Q538" s="6">
        <f>HYPERLINK("https://docs.wto.org/imrd/directdoc.asp?DDFDocuments/v/G/SPS/NBDI114.DOCX", "https://docs.wto.org/imrd/directdoc.asp?DDFDocuments/v/G/SPS/NBDI114.DOCX")</f>
      </c>
    </row>
    <row r="539">
      <c r="A539" s="6" t="s">
        <v>2030</v>
      </c>
      <c r="B539" s="7">
        <v>45517</v>
      </c>
      <c r="C539" s="6">
        <f>HYPERLINK("https://eping.wto.org/en/Search?viewData= G/SPS/N/BDI/119, G/SPS/N/KEN/298, G/SPS/N/RWA/112, G/SPS/N/TZA/377, G/SPS/N/UGA/370"," G/SPS/N/BDI/119, G/SPS/N/KEN/298, G/SPS/N/RWA/112, G/SPS/N/TZA/377, G/SPS/N/UGA/370")</f>
      </c>
      <c r="D539" s="8" t="s">
        <v>2104</v>
      </c>
      <c r="E539" s="8" t="s">
        <v>2105</v>
      </c>
      <c r="F539" s="8" t="s">
        <v>2106</v>
      </c>
      <c r="G539" s="6" t="s">
        <v>2039</v>
      </c>
      <c r="H539" s="6" t="s">
        <v>2022</v>
      </c>
      <c r="I539" s="6" t="s">
        <v>38</v>
      </c>
      <c r="J539" s="6" t="s">
        <v>39</v>
      </c>
      <c r="K539" s="6" t="s">
        <v>40</v>
      </c>
      <c r="L539" s="7">
        <v>45577</v>
      </c>
      <c r="M539" s="6" t="s">
        <v>25</v>
      </c>
      <c r="N539" s="8" t="s">
        <v>2107</v>
      </c>
      <c r="O539" s="6">
        <f>HYPERLINK("https://docs.wto.org/imrd/directdoc.asp?DDFDocuments/t/G/SPS/NBDI119.DOCX", "https://docs.wto.org/imrd/directdoc.asp?DDFDocuments/t/G/SPS/NBDI119.DOCX")</f>
      </c>
      <c r="P539" s="6">
        <f>HYPERLINK("https://docs.wto.org/imrd/directdoc.asp?DDFDocuments/u/G/SPS/NBDI119.DOCX", "https://docs.wto.org/imrd/directdoc.asp?DDFDocuments/u/G/SPS/NBDI119.DOCX")</f>
      </c>
      <c r="Q539" s="6">
        <f>HYPERLINK("https://docs.wto.org/imrd/directdoc.asp?DDFDocuments/v/G/SPS/NBDI119.DOCX", "https://docs.wto.org/imrd/directdoc.asp?DDFDocuments/v/G/SPS/NBDI119.DOCX")</f>
      </c>
    </row>
    <row r="540">
      <c r="A540" s="6" t="s">
        <v>2041</v>
      </c>
      <c r="B540" s="7">
        <v>45517</v>
      </c>
      <c r="C540" s="6">
        <f>HYPERLINK("https://eping.wto.org/en/Search?viewData= G/TBT/N/BDI/496, G/TBT/N/KEN/1656, G/TBT/N/RWA/1045, G/TBT/N/TZA/1159, G/TBT/N/UGA/1996"," G/TBT/N/BDI/496, G/TBT/N/KEN/1656, G/TBT/N/RWA/1045, G/TBT/N/TZA/1159, G/TBT/N/UGA/1996")</f>
      </c>
      <c r="D540" s="8" t="s">
        <v>2091</v>
      </c>
      <c r="E540" s="8" t="s">
        <v>2092</v>
      </c>
      <c r="F540" s="8" t="s">
        <v>2027</v>
      </c>
      <c r="G540" s="6" t="s">
        <v>2028</v>
      </c>
      <c r="H540" s="6" t="s">
        <v>2022</v>
      </c>
      <c r="I540" s="6" t="s">
        <v>886</v>
      </c>
      <c r="J540" s="6" t="s">
        <v>24</v>
      </c>
      <c r="K540" s="6"/>
      <c r="L540" s="7">
        <v>45577</v>
      </c>
      <c r="M540" s="6" t="s">
        <v>25</v>
      </c>
      <c r="N540" s="8" t="s">
        <v>2093</v>
      </c>
      <c r="O540" s="6">
        <f>HYPERLINK("https://docs.wto.org/imrd/directdoc.asp?DDFDocuments/t/G/TBTN24/BDI496.DOCX", "https://docs.wto.org/imrd/directdoc.asp?DDFDocuments/t/G/TBTN24/BDI496.DOCX")</f>
      </c>
      <c r="P540" s="6">
        <f>HYPERLINK("https://docs.wto.org/imrd/directdoc.asp?DDFDocuments/u/G/TBTN24/BDI496.DOCX", "https://docs.wto.org/imrd/directdoc.asp?DDFDocuments/u/G/TBTN24/BDI496.DOCX")</f>
      </c>
      <c r="Q540" s="6">
        <f>HYPERLINK("https://docs.wto.org/imrd/directdoc.asp?DDFDocuments/v/G/TBTN24/BDI496.DOCX", "https://docs.wto.org/imrd/directdoc.asp?DDFDocuments/v/G/TBTN24/BDI496.DOCX")</f>
      </c>
    </row>
    <row r="541">
      <c r="A541" s="6" t="s">
        <v>17</v>
      </c>
      <c r="B541" s="7">
        <v>45517</v>
      </c>
      <c r="C541" s="6">
        <f>HYPERLINK("https://eping.wto.org/en/Search?viewData= G/TBT/N/BDI/492, G/TBT/N/KEN/1652, G/TBT/N/RWA/1041, G/TBT/N/TZA/1155, G/TBT/N/UGA/1992"," G/TBT/N/BDI/492, G/TBT/N/KEN/1652, G/TBT/N/RWA/1041, G/TBT/N/TZA/1155, G/TBT/N/UGA/1992")</f>
      </c>
      <c r="D541" s="8" t="s">
        <v>2170</v>
      </c>
      <c r="E541" s="8" t="s">
        <v>2171</v>
      </c>
      <c r="F541" s="8" t="s">
        <v>2033</v>
      </c>
      <c r="G541" s="6" t="s">
        <v>2034</v>
      </c>
      <c r="H541" s="6" t="s">
        <v>2022</v>
      </c>
      <c r="I541" s="6" t="s">
        <v>886</v>
      </c>
      <c r="J541" s="6" t="s">
        <v>24</v>
      </c>
      <c r="K541" s="6"/>
      <c r="L541" s="7">
        <v>45577</v>
      </c>
      <c r="M541" s="6" t="s">
        <v>25</v>
      </c>
      <c r="N541" s="8" t="s">
        <v>2172</v>
      </c>
      <c r="O541" s="6">
        <f>HYPERLINK("https://docs.wto.org/imrd/directdoc.asp?DDFDocuments/t/G/TBTN24/BDI492.DOCX", "https://docs.wto.org/imrd/directdoc.asp?DDFDocuments/t/G/TBTN24/BDI492.DOCX")</f>
      </c>
      <c r="P541" s="6">
        <f>HYPERLINK("https://docs.wto.org/imrd/directdoc.asp?DDFDocuments/u/G/TBTN24/BDI492.DOCX", "https://docs.wto.org/imrd/directdoc.asp?DDFDocuments/u/G/TBTN24/BDI492.DOCX")</f>
      </c>
      <c r="Q541" s="6">
        <f>HYPERLINK("https://docs.wto.org/imrd/directdoc.asp?DDFDocuments/v/G/TBTN24/BDI492.DOCX", "https://docs.wto.org/imrd/directdoc.asp?DDFDocuments/v/G/TBTN24/BDI492.DOCX")</f>
      </c>
    </row>
    <row r="542">
      <c r="A542" s="6" t="s">
        <v>2030</v>
      </c>
      <c r="B542" s="7">
        <v>45517</v>
      </c>
      <c r="C542" s="6">
        <f>HYPERLINK("https://eping.wto.org/en/Search?viewData= G/TBT/N/UGA/1987"," G/TBT/N/UGA/1987")</f>
      </c>
      <c r="D542" s="8" t="s">
        <v>2219</v>
      </c>
      <c r="E542" s="8" t="s">
        <v>2220</v>
      </c>
      <c r="F542" s="8" t="s">
        <v>2221</v>
      </c>
      <c r="G542" s="6" t="s">
        <v>2181</v>
      </c>
      <c r="H542" s="6" t="s">
        <v>1972</v>
      </c>
      <c r="I542" s="6" t="s">
        <v>81</v>
      </c>
      <c r="J542" s="6" t="s">
        <v>24</v>
      </c>
      <c r="K542" s="6"/>
      <c r="L542" s="7">
        <v>45577</v>
      </c>
      <c r="M542" s="6" t="s">
        <v>25</v>
      </c>
      <c r="N542" s="8" t="s">
        <v>2222</v>
      </c>
      <c r="O542" s="6">
        <f>HYPERLINK("https://docs.wto.org/imrd/directdoc.asp?DDFDocuments/t/G/TBTN24/UGA1987.DOCX", "https://docs.wto.org/imrd/directdoc.asp?DDFDocuments/t/G/TBTN24/UGA1987.DOCX")</f>
      </c>
      <c r="P542" s="6">
        <f>HYPERLINK("https://docs.wto.org/imrd/directdoc.asp?DDFDocuments/u/G/TBTN24/UGA1987.DOCX", "https://docs.wto.org/imrd/directdoc.asp?DDFDocuments/u/G/TBTN24/UGA1987.DOCX")</f>
      </c>
      <c r="Q542" s="6">
        <f>HYPERLINK("https://docs.wto.org/imrd/directdoc.asp?DDFDocuments/v/G/TBTN24/UGA1987.DOCX", "https://docs.wto.org/imrd/directdoc.asp?DDFDocuments/v/G/TBTN24/UGA1987.DOCX")</f>
      </c>
    </row>
    <row r="543">
      <c r="A543" s="6" t="s">
        <v>17</v>
      </c>
      <c r="B543" s="7">
        <v>45517</v>
      </c>
      <c r="C543" s="6">
        <f>HYPERLINK("https://eping.wto.org/en/Search?viewData= G/TBT/N/KEN/1647"," G/TBT/N/KEN/1647")</f>
      </c>
      <c r="D543" s="8" t="s">
        <v>2223</v>
      </c>
      <c r="E543" s="8" t="s">
        <v>2224</v>
      </c>
      <c r="F543" s="8" t="s">
        <v>2225</v>
      </c>
      <c r="G543" s="6" t="s">
        <v>2213</v>
      </c>
      <c r="H543" s="6" t="s">
        <v>2226</v>
      </c>
      <c r="I543" s="6" t="s">
        <v>2227</v>
      </c>
      <c r="J543" s="6" t="s">
        <v>40</v>
      </c>
      <c r="K543" s="6"/>
      <c r="L543" s="7">
        <v>45577</v>
      </c>
      <c r="M543" s="6" t="s">
        <v>25</v>
      </c>
      <c r="N543" s="8" t="s">
        <v>2228</v>
      </c>
      <c r="O543" s="6">
        <f>HYPERLINK("https://docs.wto.org/imrd/directdoc.asp?DDFDocuments/t/G/TBTN24/KEN1647.DOCX", "https://docs.wto.org/imrd/directdoc.asp?DDFDocuments/t/G/TBTN24/KEN1647.DOCX")</f>
      </c>
      <c r="P543" s="6">
        <f>HYPERLINK("https://docs.wto.org/imrd/directdoc.asp?DDFDocuments/u/G/TBTN24/KEN1647.DOCX", "https://docs.wto.org/imrd/directdoc.asp?DDFDocuments/u/G/TBTN24/KEN1647.DOCX")</f>
      </c>
      <c r="Q543" s="6">
        <f>HYPERLINK("https://docs.wto.org/imrd/directdoc.asp?DDFDocuments/v/G/TBTN24/KEN1647.DOCX", "https://docs.wto.org/imrd/directdoc.asp?DDFDocuments/v/G/TBTN24/KEN1647.DOCX")</f>
      </c>
    </row>
    <row r="544">
      <c r="A544" s="6" t="s">
        <v>2024</v>
      </c>
      <c r="B544" s="7">
        <v>45517</v>
      </c>
      <c r="C544" s="6">
        <f>HYPERLINK("https://eping.wto.org/en/Search?viewData= G/TBT/N/BDI/493, G/TBT/N/KEN/1653, G/TBT/N/RWA/1042, G/TBT/N/TZA/1156, G/TBT/N/UGA/1993"," G/TBT/N/BDI/493, G/TBT/N/KEN/1653, G/TBT/N/RWA/1042, G/TBT/N/TZA/1156, G/TBT/N/UGA/1993")</f>
      </c>
      <c r="D544" s="8" t="s">
        <v>2045</v>
      </c>
      <c r="E544" s="8" t="s">
        <v>2046</v>
      </c>
      <c r="F544" s="8" t="s">
        <v>2020</v>
      </c>
      <c r="G544" s="6" t="s">
        <v>2101</v>
      </c>
      <c r="H544" s="6" t="s">
        <v>2022</v>
      </c>
      <c r="I544" s="6" t="s">
        <v>886</v>
      </c>
      <c r="J544" s="6" t="s">
        <v>24</v>
      </c>
      <c r="K544" s="6"/>
      <c r="L544" s="7">
        <v>45577</v>
      </c>
      <c r="M544" s="6" t="s">
        <v>25</v>
      </c>
      <c r="N544" s="8" t="s">
        <v>2047</v>
      </c>
      <c r="O544" s="6">
        <f>HYPERLINK("https://docs.wto.org/imrd/directdoc.asp?DDFDocuments/t/G/TBTN24/BDI493.DOCX", "https://docs.wto.org/imrd/directdoc.asp?DDFDocuments/t/G/TBTN24/BDI493.DOCX")</f>
      </c>
      <c r="P544" s="6">
        <f>HYPERLINK("https://docs.wto.org/imrd/directdoc.asp?DDFDocuments/u/G/TBTN24/BDI493.DOCX", "https://docs.wto.org/imrd/directdoc.asp?DDFDocuments/u/G/TBTN24/BDI493.DOCX")</f>
      </c>
      <c r="Q544" s="6">
        <f>HYPERLINK("https://docs.wto.org/imrd/directdoc.asp?DDFDocuments/v/G/TBTN24/BDI493.DOCX", "https://docs.wto.org/imrd/directdoc.asp?DDFDocuments/v/G/TBTN24/BDI493.DOCX")</f>
      </c>
    </row>
    <row r="545">
      <c r="A545" s="6" t="s">
        <v>2229</v>
      </c>
      <c r="B545" s="7">
        <v>45517</v>
      </c>
      <c r="C545" s="6">
        <f>HYPERLINK("https://eping.wto.org/en/Search?viewData= G/TBT/N/PRY/141"," G/TBT/N/PRY/141")</f>
      </c>
      <c r="D545" s="8" t="s">
        <v>2230</v>
      </c>
      <c r="E545" s="8" t="s">
        <v>2231</v>
      </c>
      <c r="F545" s="8" t="s">
        <v>2232</v>
      </c>
      <c r="G545" s="6" t="s">
        <v>2233</v>
      </c>
      <c r="H545" s="6" t="s">
        <v>40</v>
      </c>
      <c r="I545" s="6" t="s">
        <v>2234</v>
      </c>
      <c r="J545" s="6" t="s">
        <v>24</v>
      </c>
      <c r="K545" s="6"/>
      <c r="L545" s="7">
        <v>45577</v>
      </c>
      <c r="M545" s="6" t="s">
        <v>25</v>
      </c>
      <c r="N545" s="8" t="s">
        <v>2235</v>
      </c>
      <c r="O545" s="6">
        <f>HYPERLINK("https://docs.wto.org/imrd/directdoc.asp?DDFDocuments/t/G/TBTN24/PRY141.DOCX", "https://docs.wto.org/imrd/directdoc.asp?DDFDocuments/t/G/TBTN24/PRY141.DOCX")</f>
      </c>
      <c r="P545" s="6">
        <f>HYPERLINK("https://docs.wto.org/imrd/directdoc.asp?DDFDocuments/u/G/TBTN24/PRY141.DOCX", "https://docs.wto.org/imrd/directdoc.asp?DDFDocuments/u/G/TBTN24/PRY141.DOCX")</f>
      </c>
      <c r="Q545" s="6">
        <f>HYPERLINK("https://docs.wto.org/imrd/directdoc.asp?DDFDocuments/v/G/TBTN24/PRY141.DOCX", "https://docs.wto.org/imrd/directdoc.asp?DDFDocuments/v/G/TBTN24/PRY141.DOCX")</f>
      </c>
    </row>
    <row r="546">
      <c r="A546" s="6" t="s">
        <v>239</v>
      </c>
      <c r="B546" s="7">
        <v>45517</v>
      </c>
      <c r="C546" s="6">
        <f>HYPERLINK("https://eping.wto.org/en/Search?viewData= G/TBT/N/VNM/311"," G/TBT/N/VNM/311")</f>
      </c>
      <c r="D546" s="8" t="s">
        <v>2236</v>
      </c>
      <c r="E546" s="8" t="s">
        <v>2237</v>
      </c>
      <c r="F546" s="8" t="s">
        <v>2238</v>
      </c>
      <c r="G546" s="6" t="s">
        <v>2239</v>
      </c>
      <c r="H546" s="6" t="s">
        <v>40</v>
      </c>
      <c r="I546" s="6" t="s">
        <v>147</v>
      </c>
      <c r="J546" s="6" t="s">
        <v>40</v>
      </c>
      <c r="K546" s="6"/>
      <c r="L546" s="7">
        <v>45577</v>
      </c>
      <c r="M546" s="6" t="s">
        <v>25</v>
      </c>
      <c r="N546" s="8" t="s">
        <v>2240</v>
      </c>
      <c r="O546" s="6">
        <f>HYPERLINK("https://docs.wto.org/imrd/directdoc.asp?DDFDocuments/t/G/TBTN24/VNM311.DOCX", "https://docs.wto.org/imrd/directdoc.asp?DDFDocuments/t/G/TBTN24/VNM311.DOCX")</f>
      </c>
      <c r="P546" s="6">
        <f>HYPERLINK("https://docs.wto.org/imrd/directdoc.asp?DDFDocuments/u/G/TBTN24/VNM311.DOCX", "https://docs.wto.org/imrd/directdoc.asp?DDFDocuments/u/G/TBTN24/VNM311.DOCX")</f>
      </c>
      <c r="Q546" s="6">
        <f>HYPERLINK("https://docs.wto.org/imrd/directdoc.asp?DDFDocuments/v/G/TBTN24/VNM311.DOCX", "https://docs.wto.org/imrd/directdoc.asp?DDFDocuments/v/G/TBTN24/VNM311.DOCX")</f>
      </c>
    </row>
    <row r="547">
      <c r="A547" s="6" t="s">
        <v>880</v>
      </c>
      <c r="B547" s="7">
        <v>45517</v>
      </c>
      <c r="C547" s="6">
        <f>HYPERLINK("https://eping.wto.org/en/Search?viewData= G/SPS/N/BDI/115, G/SPS/N/KEN/294, G/SPS/N/RWA/108, G/SPS/N/TZA/373, G/SPS/N/UGA/366"," G/SPS/N/BDI/115, G/SPS/N/KEN/294, G/SPS/N/RWA/108, G/SPS/N/TZA/373, G/SPS/N/UGA/366")</f>
      </c>
      <c r="D547" s="8" t="s">
        <v>2108</v>
      </c>
      <c r="E547" s="8" t="s">
        <v>2109</v>
      </c>
      <c r="F547" s="8" t="s">
        <v>2074</v>
      </c>
      <c r="G547" s="6" t="s">
        <v>2075</v>
      </c>
      <c r="H547" s="6" t="s">
        <v>2022</v>
      </c>
      <c r="I547" s="6" t="s">
        <v>38</v>
      </c>
      <c r="J547" s="6" t="s">
        <v>60</v>
      </c>
      <c r="K547" s="6" t="s">
        <v>40</v>
      </c>
      <c r="L547" s="7">
        <v>45577</v>
      </c>
      <c r="M547" s="6" t="s">
        <v>25</v>
      </c>
      <c r="N547" s="8" t="s">
        <v>2110</v>
      </c>
      <c r="O547" s="6">
        <f>HYPERLINK("https://docs.wto.org/imrd/directdoc.asp?DDFDocuments/t/G/SPS/NBDI115.DOCX", "https://docs.wto.org/imrd/directdoc.asp?DDFDocuments/t/G/SPS/NBDI115.DOCX")</f>
      </c>
      <c r="P547" s="6">
        <f>HYPERLINK("https://docs.wto.org/imrd/directdoc.asp?DDFDocuments/u/G/SPS/NBDI115.DOCX", "https://docs.wto.org/imrd/directdoc.asp?DDFDocuments/u/G/SPS/NBDI115.DOCX")</f>
      </c>
      <c r="Q547" s="6">
        <f>HYPERLINK("https://docs.wto.org/imrd/directdoc.asp?DDFDocuments/v/G/SPS/NBDI115.DOCX", "https://docs.wto.org/imrd/directdoc.asp?DDFDocuments/v/G/SPS/NBDI115.DOCX")</f>
      </c>
    </row>
    <row r="548">
      <c r="A548" s="6" t="s">
        <v>17</v>
      </c>
      <c r="B548" s="7">
        <v>45517</v>
      </c>
      <c r="C548" s="6">
        <f>HYPERLINK("https://eping.wto.org/en/Search?viewData= G/SPS/N/BDI/118, G/SPS/N/KEN/297, G/SPS/N/RWA/111, G/SPS/N/TZA/376, G/SPS/N/UGA/369"," G/SPS/N/BDI/118, G/SPS/N/KEN/297, G/SPS/N/RWA/111, G/SPS/N/TZA/376, G/SPS/N/UGA/369")</f>
      </c>
      <c r="D548" s="8" t="s">
        <v>2025</v>
      </c>
      <c r="E548" s="8" t="s">
        <v>2026</v>
      </c>
      <c r="F548" s="8" t="s">
        <v>2027</v>
      </c>
      <c r="G548" s="6" t="s">
        <v>2028</v>
      </c>
      <c r="H548" s="6" t="s">
        <v>2022</v>
      </c>
      <c r="I548" s="6" t="s">
        <v>38</v>
      </c>
      <c r="J548" s="6" t="s">
        <v>39</v>
      </c>
      <c r="K548" s="6" t="s">
        <v>40</v>
      </c>
      <c r="L548" s="7">
        <v>45577</v>
      </c>
      <c r="M548" s="6" t="s">
        <v>25</v>
      </c>
      <c r="N548" s="8" t="s">
        <v>2029</v>
      </c>
      <c r="O548" s="6">
        <f>HYPERLINK("https://docs.wto.org/imrd/directdoc.asp?DDFDocuments/t/G/SPS/NBDI118.DOCX", "https://docs.wto.org/imrd/directdoc.asp?DDFDocuments/t/G/SPS/NBDI118.DOCX")</f>
      </c>
      <c r="P548" s="6">
        <f>HYPERLINK("https://docs.wto.org/imrd/directdoc.asp?DDFDocuments/u/G/SPS/NBDI118.DOCX", "https://docs.wto.org/imrd/directdoc.asp?DDFDocuments/u/G/SPS/NBDI118.DOCX")</f>
      </c>
      <c r="Q548" s="6">
        <f>HYPERLINK("https://docs.wto.org/imrd/directdoc.asp?DDFDocuments/v/G/SPS/NBDI118.DOCX", "https://docs.wto.org/imrd/directdoc.asp?DDFDocuments/v/G/SPS/NBDI118.DOCX")</f>
      </c>
    </row>
    <row r="549">
      <c r="A549" s="6" t="s">
        <v>17</v>
      </c>
      <c r="B549" s="7">
        <v>45517</v>
      </c>
      <c r="C549" s="6">
        <f>HYPERLINK("https://eping.wto.org/en/Search?viewData= G/SPS/N/BDI/114, G/SPS/N/KEN/293, G/SPS/N/RWA/107, G/SPS/N/TZA/372, G/SPS/N/UGA/365"," G/SPS/N/BDI/114, G/SPS/N/KEN/293, G/SPS/N/RWA/107, G/SPS/N/TZA/372, G/SPS/N/UGA/365")</f>
      </c>
      <c r="D549" s="8" t="s">
        <v>2042</v>
      </c>
      <c r="E549" s="8" t="s">
        <v>2043</v>
      </c>
      <c r="F549" s="8" t="s">
        <v>2020</v>
      </c>
      <c r="G549" s="6" t="s">
        <v>2021</v>
      </c>
      <c r="H549" s="6" t="s">
        <v>2022</v>
      </c>
      <c r="I549" s="6" t="s">
        <v>38</v>
      </c>
      <c r="J549" s="6" t="s">
        <v>39</v>
      </c>
      <c r="K549" s="6" t="s">
        <v>40</v>
      </c>
      <c r="L549" s="7">
        <v>45577</v>
      </c>
      <c r="M549" s="6" t="s">
        <v>25</v>
      </c>
      <c r="N549" s="8" t="s">
        <v>2044</v>
      </c>
      <c r="O549" s="6">
        <f>HYPERLINK("https://docs.wto.org/imrd/directdoc.asp?DDFDocuments/t/G/SPS/NBDI114.DOCX", "https://docs.wto.org/imrd/directdoc.asp?DDFDocuments/t/G/SPS/NBDI114.DOCX")</f>
      </c>
      <c r="P549" s="6">
        <f>HYPERLINK("https://docs.wto.org/imrd/directdoc.asp?DDFDocuments/u/G/SPS/NBDI114.DOCX", "https://docs.wto.org/imrd/directdoc.asp?DDFDocuments/u/G/SPS/NBDI114.DOCX")</f>
      </c>
      <c r="Q549" s="6">
        <f>HYPERLINK("https://docs.wto.org/imrd/directdoc.asp?DDFDocuments/v/G/SPS/NBDI114.DOCX", "https://docs.wto.org/imrd/directdoc.asp?DDFDocuments/v/G/SPS/NBDI114.DOCX")</f>
      </c>
    </row>
    <row r="550">
      <c r="A550" s="6" t="s">
        <v>2041</v>
      </c>
      <c r="B550" s="7">
        <v>45517</v>
      </c>
      <c r="C550" s="6">
        <f>HYPERLINK("https://eping.wto.org/en/Search?viewData= G/SPS/N/BDI/119, G/SPS/N/KEN/298, G/SPS/N/RWA/112, G/SPS/N/TZA/377, G/SPS/N/UGA/370"," G/SPS/N/BDI/119, G/SPS/N/KEN/298, G/SPS/N/RWA/112, G/SPS/N/TZA/377, G/SPS/N/UGA/370")</f>
      </c>
      <c r="D550" s="8" t="s">
        <v>2104</v>
      </c>
      <c r="E550" s="8" t="s">
        <v>2105</v>
      </c>
      <c r="F550" s="8" t="s">
        <v>2106</v>
      </c>
      <c r="G550" s="6" t="s">
        <v>2039</v>
      </c>
      <c r="H550" s="6" t="s">
        <v>2022</v>
      </c>
      <c r="I550" s="6" t="s">
        <v>38</v>
      </c>
      <c r="J550" s="6" t="s">
        <v>39</v>
      </c>
      <c r="K550" s="6" t="s">
        <v>40</v>
      </c>
      <c r="L550" s="7">
        <v>45577</v>
      </c>
      <c r="M550" s="6" t="s">
        <v>25</v>
      </c>
      <c r="N550" s="8" t="s">
        <v>2107</v>
      </c>
      <c r="O550" s="6">
        <f>HYPERLINK("https://docs.wto.org/imrd/directdoc.asp?DDFDocuments/t/G/SPS/NBDI119.DOCX", "https://docs.wto.org/imrd/directdoc.asp?DDFDocuments/t/G/SPS/NBDI119.DOCX")</f>
      </c>
      <c r="P550" s="6">
        <f>HYPERLINK("https://docs.wto.org/imrd/directdoc.asp?DDFDocuments/u/G/SPS/NBDI119.DOCX", "https://docs.wto.org/imrd/directdoc.asp?DDFDocuments/u/G/SPS/NBDI119.DOCX")</f>
      </c>
      <c r="Q550" s="6">
        <f>HYPERLINK("https://docs.wto.org/imrd/directdoc.asp?DDFDocuments/v/G/SPS/NBDI119.DOCX", "https://docs.wto.org/imrd/directdoc.asp?DDFDocuments/v/G/SPS/NBDI119.DOCX")</f>
      </c>
    </row>
    <row r="551">
      <c r="A551" s="6" t="s">
        <v>880</v>
      </c>
      <c r="B551" s="7">
        <v>45517</v>
      </c>
      <c r="C551" s="6">
        <f>HYPERLINK("https://eping.wto.org/en/Search?viewData= G/SPS/N/BDI/116, G/SPS/N/KEN/295, G/SPS/N/RWA/109, G/SPS/N/TZA/374, G/SPS/N/UGA/367"," G/SPS/N/BDI/116, G/SPS/N/KEN/295, G/SPS/N/RWA/109, G/SPS/N/TZA/374, G/SPS/N/UGA/367")</f>
      </c>
      <c r="D551" s="8" t="s">
        <v>2031</v>
      </c>
      <c r="E551" s="8" t="s">
        <v>2032</v>
      </c>
      <c r="F551" s="8" t="s">
        <v>2033</v>
      </c>
      <c r="G551" s="6" t="s">
        <v>2034</v>
      </c>
      <c r="H551" s="6" t="s">
        <v>2022</v>
      </c>
      <c r="I551" s="6" t="s">
        <v>38</v>
      </c>
      <c r="J551" s="6" t="s">
        <v>60</v>
      </c>
      <c r="K551" s="6" t="s">
        <v>40</v>
      </c>
      <c r="L551" s="7">
        <v>45577</v>
      </c>
      <c r="M551" s="6" t="s">
        <v>25</v>
      </c>
      <c r="N551" s="8" t="s">
        <v>2035</v>
      </c>
      <c r="O551" s="6">
        <f>HYPERLINK("https://docs.wto.org/imrd/directdoc.asp?DDFDocuments/t/G/SPS/NBDI116.DOCX", "https://docs.wto.org/imrd/directdoc.asp?DDFDocuments/t/G/SPS/NBDI116.DOCX")</f>
      </c>
      <c r="P551" s="6">
        <f>HYPERLINK("https://docs.wto.org/imrd/directdoc.asp?DDFDocuments/u/G/SPS/NBDI116.DOCX", "https://docs.wto.org/imrd/directdoc.asp?DDFDocuments/u/G/SPS/NBDI116.DOCX")</f>
      </c>
      <c r="Q551" s="6">
        <f>HYPERLINK("https://docs.wto.org/imrd/directdoc.asp?DDFDocuments/v/G/SPS/NBDI116.DOCX", "https://docs.wto.org/imrd/directdoc.asp?DDFDocuments/v/G/SPS/NBDI116.DOCX")</f>
      </c>
    </row>
    <row r="552">
      <c r="A552" s="6" t="s">
        <v>2024</v>
      </c>
      <c r="B552" s="7">
        <v>45517</v>
      </c>
      <c r="C552" s="6">
        <f>HYPERLINK("https://eping.wto.org/en/Search?viewData= G/TBT/N/BDI/492, G/TBT/N/KEN/1652, G/TBT/N/RWA/1041, G/TBT/N/TZA/1155, G/TBT/N/UGA/1992"," G/TBT/N/BDI/492, G/TBT/N/KEN/1652, G/TBT/N/RWA/1041, G/TBT/N/TZA/1155, G/TBT/N/UGA/1992")</f>
      </c>
      <c r="D552" s="8" t="s">
        <v>2170</v>
      </c>
      <c r="E552" s="8" t="s">
        <v>2171</v>
      </c>
      <c r="F552" s="8" t="s">
        <v>2033</v>
      </c>
      <c r="G552" s="6" t="s">
        <v>2034</v>
      </c>
      <c r="H552" s="6" t="s">
        <v>2022</v>
      </c>
      <c r="I552" s="6" t="s">
        <v>886</v>
      </c>
      <c r="J552" s="6" t="s">
        <v>24</v>
      </c>
      <c r="K552" s="6"/>
      <c r="L552" s="7">
        <v>45577</v>
      </c>
      <c r="M552" s="6" t="s">
        <v>25</v>
      </c>
      <c r="N552" s="8" t="s">
        <v>2172</v>
      </c>
      <c r="O552" s="6">
        <f>HYPERLINK("https://docs.wto.org/imrd/directdoc.asp?DDFDocuments/t/G/TBTN24/BDI492.DOCX", "https://docs.wto.org/imrd/directdoc.asp?DDFDocuments/t/G/TBTN24/BDI492.DOCX")</f>
      </c>
      <c r="P552" s="6">
        <f>HYPERLINK("https://docs.wto.org/imrd/directdoc.asp?DDFDocuments/u/G/TBTN24/BDI492.DOCX", "https://docs.wto.org/imrd/directdoc.asp?DDFDocuments/u/G/TBTN24/BDI492.DOCX")</f>
      </c>
      <c r="Q552" s="6">
        <f>HYPERLINK("https://docs.wto.org/imrd/directdoc.asp?DDFDocuments/v/G/TBTN24/BDI492.DOCX", "https://docs.wto.org/imrd/directdoc.asp?DDFDocuments/v/G/TBTN24/BDI492.DOCX")</f>
      </c>
    </row>
    <row r="553">
      <c r="A553" s="6" t="s">
        <v>880</v>
      </c>
      <c r="B553" s="7">
        <v>45517</v>
      </c>
      <c r="C553" s="6">
        <f>HYPERLINK("https://eping.wto.org/en/Search?viewData= G/TBT/N/BDI/494, G/TBT/N/KEN/1654, G/TBT/N/RWA/1043, G/TBT/N/TZA/1157, G/TBT/N/UGA/1994"," G/TBT/N/BDI/494, G/TBT/N/KEN/1654, G/TBT/N/RWA/1043, G/TBT/N/TZA/1157, G/TBT/N/UGA/1994")</f>
      </c>
      <c r="D553" s="8" t="s">
        <v>2098</v>
      </c>
      <c r="E553" s="8" t="s">
        <v>2099</v>
      </c>
      <c r="F553" s="8" t="s">
        <v>2100</v>
      </c>
      <c r="G553" s="6" t="s">
        <v>2101</v>
      </c>
      <c r="H553" s="6" t="s">
        <v>2022</v>
      </c>
      <c r="I553" s="6" t="s">
        <v>2102</v>
      </c>
      <c r="J553" s="6" t="s">
        <v>24</v>
      </c>
      <c r="K553" s="6"/>
      <c r="L553" s="7">
        <v>45577</v>
      </c>
      <c r="M553" s="6" t="s">
        <v>25</v>
      </c>
      <c r="N553" s="8" t="s">
        <v>2103</v>
      </c>
      <c r="O553" s="6">
        <f>HYPERLINK("https://docs.wto.org/imrd/directdoc.asp?DDFDocuments/t/G/TBTN24/BDI494.DOCX", "https://docs.wto.org/imrd/directdoc.asp?DDFDocuments/t/G/TBTN24/BDI494.DOCX")</f>
      </c>
      <c r="P553" s="6">
        <f>HYPERLINK("https://docs.wto.org/imrd/directdoc.asp?DDFDocuments/u/G/TBTN24/BDI494.DOCX", "https://docs.wto.org/imrd/directdoc.asp?DDFDocuments/u/G/TBTN24/BDI494.DOCX")</f>
      </c>
      <c r="Q553" s="6">
        <f>HYPERLINK("https://docs.wto.org/imrd/directdoc.asp?DDFDocuments/v/G/TBTN24/BDI494.DOCX", "https://docs.wto.org/imrd/directdoc.asp?DDFDocuments/v/G/TBTN24/BDI494.DOCX")</f>
      </c>
    </row>
    <row r="554">
      <c r="A554" s="6" t="s">
        <v>160</v>
      </c>
      <c r="B554" s="7">
        <v>45517</v>
      </c>
      <c r="C554" s="6">
        <f>HYPERLINK("https://eping.wto.org/en/Search?viewData= G/TBT/N/USA/998/Rev.1/Add.2"," G/TBT/N/USA/998/Rev.1/Add.2")</f>
      </c>
      <c r="D554" s="8" t="s">
        <v>2241</v>
      </c>
      <c r="E554" s="8" t="s">
        <v>2242</v>
      </c>
      <c r="F554" s="8" t="s">
        <v>2243</v>
      </c>
      <c r="G554" s="6" t="s">
        <v>2244</v>
      </c>
      <c r="H554" s="6" t="s">
        <v>2245</v>
      </c>
      <c r="I554" s="6" t="s">
        <v>1715</v>
      </c>
      <c r="J554" s="6" t="s">
        <v>40</v>
      </c>
      <c r="K554" s="6"/>
      <c r="L554" s="7" t="s">
        <v>40</v>
      </c>
      <c r="M554" s="6" t="s">
        <v>76</v>
      </c>
      <c r="N554" s="8" t="s">
        <v>2246</v>
      </c>
      <c r="O554" s="6">
        <f>HYPERLINK("https://docs.wto.org/imrd/directdoc.asp?DDFDocuments/t/G/TBTN15/USA998R1A2.DOCX", "https://docs.wto.org/imrd/directdoc.asp?DDFDocuments/t/G/TBTN15/USA998R1A2.DOCX")</f>
      </c>
      <c r="P554" s="6">
        <f>HYPERLINK("https://docs.wto.org/imrd/directdoc.asp?DDFDocuments/u/G/TBTN15/USA998R1A2.DOCX", "https://docs.wto.org/imrd/directdoc.asp?DDFDocuments/u/G/TBTN15/USA998R1A2.DOCX")</f>
      </c>
      <c r="Q554" s="6">
        <f>HYPERLINK("https://docs.wto.org/imrd/directdoc.asp?DDFDocuments/v/G/TBTN15/USA998R1A2.DOCX", "https://docs.wto.org/imrd/directdoc.asp?DDFDocuments/v/G/TBTN15/USA998R1A2.DOCX")</f>
      </c>
    </row>
    <row r="555">
      <c r="A555" s="6" t="s">
        <v>392</v>
      </c>
      <c r="B555" s="7">
        <v>45517</v>
      </c>
      <c r="C555" s="6">
        <f>HYPERLINK("https://eping.wto.org/en/Search?viewData= G/TBT/N/SAU/1346"," G/TBT/N/SAU/1346")</f>
      </c>
      <c r="D555" s="8" t="s">
        <v>2247</v>
      </c>
      <c r="E555" s="8" t="s">
        <v>2248</v>
      </c>
      <c r="F555" s="8" t="s">
        <v>2087</v>
      </c>
      <c r="G555" s="6" t="s">
        <v>40</v>
      </c>
      <c r="H555" s="6" t="s">
        <v>2088</v>
      </c>
      <c r="I555" s="6" t="s">
        <v>2089</v>
      </c>
      <c r="J555" s="6" t="s">
        <v>40</v>
      </c>
      <c r="K555" s="6"/>
      <c r="L555" s="7">
        <v>45577</v>
      </c>
      <c r="M555" s="6" t="s">
        <v>25</v>
      </c>
      <c r="N555" s="8" t="s">
        <v>2249</v>
      </c>
      <c r="O555" s="6">
        <f>HYPERLINK("https://docs.wto.org/imrd/directdoc.asp?DDFDocuments/t/G/TBTN24/SAU1346.DOCX", "https://docs.wto.org/imrd/directdoc.asp?DDFDocuments/t/G/TBTN24/SAU1346.DOCX")</f>
      </c>
      <c r="P555" s="6">
        <f>HYPERLINK("https://docs.wto.org/imrd/directdoc.asp?DDFDocuments/u/G/TBTN24/SAU1346.DOCX", "https://docs.wto.org/imrd/directdoc.asp?DDFDocuments/u/G/TBTN24/SAU1346.DOCX")</f>
      </c>
      <c r="Q555" s="6">
        <f>HYPERLINK("https://docs.wto.org/imrd/directdoc.asp?DDFDocuments/v/G/TBTN24/SAU1346.DOCX", "https://docs.wto.org/imrd/directdoc.asp?DDFDocuments/v/G/TBTN24/SAU1346.DOCX")</f>
      </c>
    </row>
    <row r="556">
      <c r="A556" s="6" t="s">
        <v>2030</v>
      </c>
      <c r="B556" s="7">
        <v>45516</v>
      </c>
      <c r="C556" s="6">
        <f>HYPERLINK("https://eping.wto.org/en/Search?viewData= G/SPS/N/UGA/353"," G/SPS/N/UGA/353")</f>
      </c>
      <c r="D556" s="8" t="s">
        <v>2191</v>
      </c>
      <c r="E556" s="8" t="s">
        <v>2192</v>
      </c>
      <c r="F556" s="8" t="s">
        <v>2193</v>
      </c>
      <c r="G556" s="6" t="s">
        <v>2083</v>
      </c>
      <c r="H556" s="6" t="s">
        <v>22</v>
      </c>
      <c r="I556" s="6" t="s">
        <v>38</v>
      </c>
      <c r="J556" s="6" t="s">
        <v>39</v>
      </c>
      <c r="K556" s="6"/>
      <c r="L556" s="7">
        <v>45576</v>
      </c>
      <c r="M556" s="6" t="s">
        <v>25</v>
      </c>
      <c r="N556" s="8" t="s">
        <v>2250</v>
      </c>
      <c r="O556" s="6">
        <f>HYPERLINK("https://docs.wto.org/imrd/directdoc.asp?DDFDocuments/t/G/SPS/NUGA353.DOCX", "https://docs.wto.org/imrd/directdoc.asp?DDFDocuments/t/G/SPS/NUGA353.DOCX")</f>
      </c>
      <c r="P556" s="6">
        <f>HYPERLINK("https://docs.wto.org/imrd/directdoc.asp?DDFDocuments/u/G/SPS/NUGA353.DOCX", "https://docs.wto.org/imrd/directdoc.asp?DDFDocuments/u/G/SPS/NUGA353.DOCX")</f>
      </c>
      <c r="Q556" s="6">
        <f>HYPERLINK("https://docs.wto.org/imrd/directdoc.asp?DDFDocuments/v/G/SPS/NUGA353.DOCX", "https://docs.wto.org/imrd/directdoc.asp?DDFDocuments/v/G/SPS/NUGA353.DOCX")</f>
      </c>
    </row>
    <row r="557">
      <c r="A557" s="6" t="s">
        <v>129</v>
      </c>
      <c r="B557" s="7">
        <v>45516</v>
      </c>
      <c r="C557" s="6">
        <f>HYPERLINK("https://eping.wto.org/en/Search?viewData= G/TBT/N/IND/338"," G/TBT/N/IND/338")</f>
      </c>
      <c r="D557" s="8" t="s">
        <v>2251</v>
      </c>
      <c r="E557" s="8" t="s">
        <v>2252</v>
      </c>
      <c r="F557" s="8" t="s">
        <v>2253</v>
      </c>
      <c r="G557" s="6" t="s">
        <v>40</v>
      </c>
      <c r="H557" s="6" t="s">
        <v>40</v>
      </c>
      <c r="I557" s="6" t="s">
        <v>1220</v>
      </c>
      <c r="J557" s="6" t="s">
        <v>40</v>
      </c>
      <c r="K557" s="6"/>
      <c r="L557" s="7">
        <v>45576</v>
      </c>
      <c r="M557" s="6" t="s">
        <v>25</v>
      </c>
      <c r="N557" s="8" t="s">
        <v>2254</v>
      </c>
      <c r="O557" s="6">
        <f>HYPERLINK("https://docs.wto.org/imrd/directdoc.asp?DDFDocuments/t/G/TBTN24/IND338.DOCX", "https://docs.wto.org/imrd/directdoc.asp?DDFDocuments/t/G/TBTN24/IND338.DOCX")</f>
      </c>
      <c r="P557" s="6">
        <f>HYPERLINK("https://docs.wto.org/imrd/directdoc.asp?DDFDocuments/u/G/TBTN24/IND338.DOCX", "https://docs.wto.org/imrd/directdoc.asp?DDFDocuments/u/G/TBTN24/IND338.DOCX")</f>
      </c>
      <c r="Q557" s="6">
        <f>HYPERLINK("https://docs.wto.org/imrd/directdoc.asp?DDFDocuments/v/G/TBTN24/IND338.DOCX", "https://docs.wto.org/imrd/directdoc.asp?DDFDocuments/v/G/TBTN24/IND338.DOCX")</f>
      </c>
    </row>
    <row r="558">
      <c r="A558" s="6" t="s">
        <v>2030</v>
      </c>
      <c r="B558" s="7">
        <v>45516</v>
      </c>
      <c r="C558" s="6">
        <f>HYPERLINK("https://eping.wto.org/en/Search?viewData= G/SPS/N/UGA/356"," G/SPS/N/UGA/356")</f>
      </c>
      <c r="D558" s="8" t="s">
        <v>2178</v>
      </c>
      <c r="E558" s="8" t="s">
        <v>2179</v>
      </c>
      <c r="F558" s="8" t="s">
        <v>2180</v>
      </c>
      <c r="G558" s="6" t="s">
        <v>2181</v>
      </c>
      <c r="H558" s="6" t="s">
        <v>1972</v>
      </c>
      <c r="I558" s="6" t="s">
        <v>38</v>
      </c>
      <c r="J558" s="6" t="s">
        <v>60</v>
      </c>
      <c r="K558" s="6"/>
      <c r="L558" s="7">
        <v>45576</v>
      </c>
      <c r="M558" s="6" t="s">
        <v>25</v>
      </c>
      <c r="N558" s="8" t="s">
        <v>2255</v>
      </c>
      <c r="O558" s="6">
        <f>HYPERLINK("https://docs.wto.org/imrd/directdoc.asp?DDFDocuments/t/G/SPS/NUGA356.DOCX", "https://docs.wto.org/imrd/directdoc.asp?DDFDocuments/t/G/SPS/NUGA356.DOCX")</f>
      </c>
      <c r="P558" s="6">
        <f>HYPERLINK("https://docs.wto.org/imrd/directdoc.asp?DDFDocuments/u/G/SPS/NUGA356.DOCX", "https://docs.wto.org/imrd/directdoc.asp?DDFDocuments/u/G/SPS/NUGA356.DOCX")</f>
      </c>
      <c r="Q558" s="6">
        <f>HYPERLINK("https://docs.wto.org/imrd/directdoc.asp?DDFDocuments/v/G/SPS/NUGA356.DOCX", "https://docs.wto.org/imrd/directdoc.asp?DDFDocuments/v/G/SPS/NUGA356.DOCX")</f>
      </c>
    </row>
    <row r="559">
      <c r="A559" s="6" t="s">
        <v>2030</v>
      </c>
      <c r="B559" s="7">
        <v>45516</v>
      </c>
      <c r="C559" s="6">
        <f>HYPERLINK("https://eping.wto.org/en/Search?viewData= G/SPS/N/UGA/358"," G/SPS/N/UGA/358")</f>
      </c>
      <c r="D559" s="8" t="s">
        <v>2256</v>
      </c>
      <c r="E559" s="8" t="s">
        <v>2220</v>
      </c>
      <c r="F559" s="8" t="s">
        <v>2257</v>
      </c>
      <c r="G559" s="6" t="s">
        <v>2181</v>
      </c>
      <c r="H559" s="6" t="s">
        <v>1972</v>
      </c>
      <c r="I559" s="6" t="s">
        <v>38</v>
      </c>
      <c r="J559" s="6" t="s">
        <v>60</v>
      </c>
      <c r="K559" s="6"/>
      <c r="L559" s="7">
        <v>45576</v>
      </c>
      <c r="M559" s="6" t="s">
        <v>25</v>
      </c>
      <c r="N559" s="8" t="s">
        <v>2258</v>
      </c>
      <c r="O559" s="6">
        <f>HYPERLINK("https://docs.wto.org/imrd/directdoc.asp?DDFDocuments/t/G/SPS/NUGA358.DOCX", "https://docs.wto.org/imrd/directdoc.asp?DDFDocuments/t/G/SPS/NUGA358.DOCX")</f>
      </c>
      <c r="P559" s="6">
        <f>HYPERLINK("https://docs.wto.org/imrd/directdoc.asp?DDFDocuments/u/G/SPS/NUGA358.DOCX", "https://docs.wto.org/imrd/directdoc.asp?DDFDocuments/u/G/SPS/NUGA358.DOCX")</f>
      </c>
      <c r="Q559" s="6">
        <f>HYPERLINK("https://docs.wto.org/imrd/directdoc.asp?DDFDocuments/v/G/SPS/NUGA358.DOCX", "https://docs.wto.org/imrd/directdoc.asp?DDFDocuments/v/G/SPS/NUGA358.DOCX")</f>
      </c>
    </row>
    <row r="560">
      <c r="A560" s="6" t="s">
        <v>2030</v>
      </c>
      <c r="B560" s="7">
        <v>45516</v>
      </c>
      <c r="C560" s="6">
        <f>HYPERLINK("https://eping.wto.org/en/Search?viewData= G/SPS/N/UGA/352"," G/SPS/N/UGA/352")</f>
      </c>
      <c r="D560" s="8" t="s">
        <v>2259</v>
      </c>
      <c r="E560" s="8" t="s">
        <v>2260</v>
      </c>
      <c r="F560" s="8" t="s">
        <v>2261</v>
      </c>
      <c r="G560" s="6" t="s">
        <v>2262</v>
      </c>
      <c r="H560" s="6" t="s">
        <v>22</v>
      </c>
      <c r="I560" s="6" t="s">
        <v>38</v>
      </c>
      <c r="J560" s="6" t="s">
        <v>60</v>
      </c>
      <c r="K560" s="6"/>
      <c r="L560" s="7">
        <v>45576</v>
      </c>
      <c r="M560" s="6" t="s">
        <v>25</v>
      </c>
      <c r="N560" s="8" t="s">
        <v>2263</v>
      </c>
      <c r="O560" s="6">
        <f>HYPERLINK("https://docs.wto.org/imrd/directdoc.asp?DDFDocuments/t/G/SPS/NUGA352.DOCX", "https://docs.wto.org/imrd/directdoc.asp?DDFDocuments/t/G/SPS/NUGA352.DOCX")</f>
      </c>
      <c r="P560" s="6">
        <f>HYPERLINK("https://docs.wto.org/imrd/directdoc.asp?DDFDocuments/u/G/SPS/NUGA352.DOCX", "https://docs.wto.org/imrd/directdoc.asp?DDFDocuments/u/G/SPS/NUGA352.DOCX")</f>
      </c>
      <c r="Q560" s="6">
        <f>HYPERLINK("https://docs.wto.org/imrd/directdoc.asp?DDFDocuments/v/G/SPS/NUGA352.DOCX", "https://docs.wto.org/imrd/directdoc.asp?DDFDocuments/v/G/SPS/NUGA352.DOCX")</f>
      </c>
    </row>
    <row r="561">
      <c r="A561" s="6" t="s">
        <v>167</v>
      </c>
      <c r="B561" s="7">
        <v>45516</v>
      </c>
      <c r="C561" s="6">
        <f>HYPERLINK("https://eping.wto.org/en/Search?viewData= G/TBT/N/TUR/215"," G/TBT/N/TUR/215")</f>
      </c>
      <c r="D561" s="8" t="s">
        <v>2264</v>
      </c>
      <c r="E561" s="8" t="s">
        <v>2265</v>
      </c>
      <c r="F561" s="8" t="s">
        <v>2266</v>
      </c>
      <c r="G561" s="6" t="s">
        <v>40</v>
      </c>
      <c r="H561" s="6" t="s">
        <v>40</v>
      </c>
      <c r="I561" s="6" t="s">
        <v>1918</v>
      </c>
      <c r="J561" s="6" t="s">
        <v>40</v>
      </c>
      <c r="K561" s="6"/>
      <c r="L561" s="7">
        <v>45576</v>
      </c>
      <c r="M561" s="6" t="s">
        <v>25</v>
      </c>
      <c r="N561" s="8" t="s">
        <v>2267</v>
      </c>
      <c r="O561" s="6">
        <f>HYPERLINK("https://docs.wto.org/imrd/directdoc.asp?DDFDocuments/t/G/TBTN24/TUR215.DOCX", "https://docs.wto.org/imrd/directdoc.asp?DDFDocuments/t/G/TBTN24/TUR215.DOCX")</f>
      </c>
      <c r="P561" s="6">
        <f>HYPERLINK("https://docs.wto.org/imrd/directdoc.asp?DDFDocuments/u/G/TBTN24/TUR215.DOCX", "https://docs.wto.org/imrd/directdoc.asp?DDFDocuments/u/G/TBTN24/TUR215.DOCX")</f>
      </c>
      <c r="Q561" s="6">
        <f>HYPERLINK("https://docs.wto.org/imrd/directdoc.asp?DDFDocuments/v/G/TBTN24/TUR215.DOCX", "https://docs.wto.org/imrd/directdoc.asp?DDFDocuments/v/G/TBTN24/TUR215.DOCX")</f>
      </c>
    </row>
    <row r="562">
      <c r="A562" s="6" t="s">
        <v>2030</v>
      </c>
      <c r="B562" s="7">
        <v>45516</v>
      </c>
      <c r="C562" s="6">
        <f>HYPERLINK("https://eping.wto.org/en/Search?viewData= G/SPS/N/UGA/362"," G/SPS/N/UGA/362")</f>
      </c>
      <c r="D562" s="8" t="s">
        <v>2268</v>
      </c>
      <c r="E562" s="8" t="s">
        <v>2269</v>
      </c>
      <c r="F562" s="8" t="s">
        <v>2270</v>
      </c>
      <c r="G562" s="6" t="s">
        <v>2060</v>
      </c>
      <c r="H562" s="6" t="s">
        <v>1972</v>
      </c>
      <c r="I562" s="6" t="s">
        <v>38</v>
      </c>
      <c r="J562" s="6" t="s">
        <v>60</v>
      </c>
      <c r="K562" s="6"/>
      <c r="L562" s="7">
        <v>45576</v>
      </c>
      <c r="M562" s="6" t="s">
        <v>25</v>
      </c>
      <c r="N562" s="8" t="s">
        <v>2271</v>
      </c>
      <c r="O562" s="6">
        <f>HYPERLINK("https://docs.wto.org/imrd/directdoc.asp?DDFDocuments/t/G/SPS/NUGA362.DOCX", "https://docs.wto.org/imrd/directdoc.asp?DDFDocuments/t/G/SPS/NUGA362.DOCX")</f>
      </c>
      <c r="P562" s="6">
        <f>HYPERLINK("https://docs.wto.org/imrd/directdoc.asp?DDFDocuments/u/G/SPS/NUGA362.DOCX", "https://docs.wto.org/imrd/directdoc.asp?DDFDocuments/u/G/SPS/NUGA362.DOCX")</f>
      </c>
      <c r="Q562" s="6">
        <f>HYPERLINK("https://docs.wto.org/imrd/directdoc.asp?DDFDocuments/v/G/SPS/NUGA362.DOCX", "https://docs.wto.org/imrd/directdoc.asp?DDFDocuments/v/G/SPS/NUGA362.DOCX")</f>
      </c>
    </row>
    <row r="563">
      <c r="A563" s="6" t="s">
        <v>2030</v>
      </c>
      <c r="B563" s="7">
        <v>45516</v>
      </c>
      <c r="C563" s="6">
        <f>HYPERLINK("https://eping.wto.org/en/Search?viewData= G/SPS/N/UGA/361"," G/SPS/N/UGA/361")</f>
      </c>
      <c r="D563" s="8" t="s">
        <v>2272</v>
      </c>
      <c r="E563" s="8" t="s">
        <v>2129</v>
      </c>
      <c r="F563" s="8" t="s">
        <v>2273</v>
      </c>
      <c r="G563" s="6" t="s">
        <v>2131</v>
      </c>
      <c r="H563" s="6" t="s">
        <v>1972</v>
      </c>
      <c r="I563" s="6" t="s">
        <v>38</v>
      </c>
      <c r="J563" s="6" t="s">
        <v>60</v>
      </c>
      <c r="K563" s="6"/>
      <c r="L563" s="7">
        <v>45576</v>
      </c>
      <c r="M563" s="6" t="s">
        <v>25</v>
      </c>
      <c r="N563" s="8" t="s">
        <v>2274</v>
      </c>
      <c r="O563" s="6">
        <f>HYPERLINK("https://docs.wto.org/imrd/directdoc.asp?DDFDocuments/t/G/SPS/NUGA361.DOCX", "https://docs.wto.org/imrd/directdoc.asp?DDFDocuments/t/G/SPS/NUGA361.DOCX")</f>
      </c>
      <c r="P563" s="6">
        <f>HYPERLINK("https://docs.wto.org/imrd/directdoc.asp?DDFDocuments/u/G/SPS/NUGA361.DOCX", "https://docs.wto.org/imrd/directdoc.asp?DDFDocuments/u/G/SPS/NUGA361.DOCX")</f>
      </c>
      <c r="Q563" s="6">
        <f>HYPERLINK("https://docs.wto.org/imrd/directdoc.asp?DDFDocuments/v/G/SPS/NUGA361.DOCX", "https://docs.wto.org/imrd/directdoc.asp?DDFDocuments/v/G/SPS/NUGA361.DOCX")</f>
      </c>
    </row>
    <row r="564">
      <c r="A564" s="6" t="s">
        <v>2275</v>
      </c>
      <c r="B564" s="7">
        <v>45516</v>
      </c>
      <c r="C564" s="6">
        <f>HYPERLINK("https://eping.wto.org/en/Search?viewData= G/TBT/N/MAC/29"," G/TBT/N/MAC/29")</f>
      </c>
      <c r="D564" s="8" t="s">
        <v>2276</v>
      </c>
      <c r="E564" s="8" t="s">
        <v>2277</v>
      </c>
      <c r="F564" s="8" t="s">
        <v>2278</v>
      </c>
      <c r="G564" s="6" t="s">
        <v>40</v>
      </c>
      <c r="H564" s="6" t="s">
        <v>40</v>
      </c>
      <c r="I564" s="6" t="s">
        <v>213</v>
      </c>
      <c r="J564" s="6" t="s">
        <v>40</v>
      </c>
      <c r="K564" s="6"/>
      <c r="L564" s="7" t="s">
        <v>40</v>
      </c>
      <c r="M564" s="6" t="s">
        <v>25</v>
      </c>
      <c r="N564" s="6"/>
      <c r="O564" s="6">
        <f>HYPERLINK("https://docs.wto.org/imrd/directdoc.asp?DDFDocuments/t/G/TBTN24/MAC29.DOCX", "https://docs.wto.org/imrd/directdoc.asp?DDFDocuments/t/G/TBTN24/MAC29.DOCX")</f>
      </c>
      <c r="P564" s="6">
        <f>HYPERLINK("https://docs.wto.org/imrd/directdoc.asp?DDFDocuments/u/G/TBTN24/MAC29.DOCX", "https://docs.wto.org/imrd/directdoc.asp?DDFDocuments/u/G/TBTN24/MAC29.DOCX")</f>
      </c>
      <c r="Q564" s="6">
        <f>HYPERLINK("https://docs.wto.org/imrd/directdoc.asp?DDFDocuments/v/G/TBTN24/MAC29.DOCX", "https://docs.wto.org/imrd/directdoc.asp?DDFDocuments/v/G/TBTN24/MAC29.DOCX")</f>
      </c>
    </row>
    <row r="565">
      <c r="A565" s="6" t="s">
        <v>2030</v>
      </c>
      <c r="B565" s="7">
        <v>45516</v>
      </c>
      <c r="C565" s="6">
        <f>HYPERLINK("https://eping.wto.org/en/Search?viewData= G/TBT/N/UGA/1976"," G/TBT/N/UGA/1976")</f>
      </c>
      <c r="D565" s="8" t="s">
        <v>2279</v>
      </c>
      <c r="E565" s="8" t="s">
        <v>2280</v>
      </c>
      <c r="F565" s="8" t="s">
        <v>2281</v>
      </c>
      <c r="G565" s="6" t="s">
        <v>2282</v>
      </c>
      <c r="H565" s="6" t="s">
        <v>22</v>
      </c>
      <c r="I565" s="6" t="s">
        <v>81</v>
      </c>
      <c r="J565" s="6" t="s">
        <v>24</v>
      </c>
      <c r="K565" s="6"/>
      <c r="L565" s="7">
        <v>45576</v>
      </c>
      <c r="M565" s="6" t="s">
        <v>25</v>
      </c>
      <c r="N565" s="8" t="s">
        <v>2283</v>
      </c>
      <c r="O565" s="6">
        <f>HYPERLINK("https://docs.wto.org/imrd/directdoc.asp?DDFDocuments/t/G/TBTN24/UGA1976.DOCX", "https://docs.wto.org/imrd/directdoc.asp?DDFDocuments/t/G/TBTN24/UGA1976.DOCX")</f>
      </c>
      <c r="P565" s="6">
        <f>HYPERLINK("https://docs.wto.org/imrd/directdoc.asp?DDFDocuments/u/G/TBTN24/UGA1976.DOCX", "https://docs.wto.org/imrd/directdoc.asp?DDFDocuments/u/G/TBTN24/UGA1976.DOCX")</f>
      </c>
      <c r="Q565" s="6">
        <f>HYPERLINK("https://docs.wto.org/imrd/directdoc.asp?DDFDocuments/v/G/TBTN24/UGA1976.DOCX", "https://docs.wto.org/imrd/directdoc.asp?DDFDocuments/v/G/TBTN24/UGA1976.DOCX")</f>
      </c>
    </row>
    <row r="566">
      <c r="A566" s="6" t="s">
        <v>2030</v>
      </c>
      <c r="B566" s="7">
        <v>45516</v>
      </c>
      <c r="C566" s="6">
        <f>HYPERLINK("https://eping.wto.org/en/Search?viewData= G/TBT/N/UGA/1974"," G/TBT/N/UGA/1974")</f>
      </c>
      <c r="D566" s="8" t="s">
        <v>2284</v>
      </c>
      <c r="E566" s="8" t="s">
        <v>2285</v>
      </c>
      <c r="F566" s="8" t="s">
        <v>2286</v>
      </c>
      <c r="G566" s="6" t="s">
        <v>2287</v>
      </c>
      <c r="H566" s="6" t="s">
        <v>1972</v>
      </c>
      <c r="I566" s="6" t="s">
        <v>81</v>
      </c>
      <c r="J566" s="6" t="s">
        <v>24</v>
      </c>
      <c r="K566" s="6"/>
      <c r="L566" s="7">
        <v>45576</v>
      </c>
      <c r="M566" s="6" t="s">
        <v>25</v>
      </c>
      <c r="N566" s="8" t="s">
        <v>2288</v>
      </c>
      <c r="O566" s="6">
        <f>HYPERLINK("https://docs.wto.org/imrd/directdoc.asp?DDFDocuments/t/G/TBTN24/UGA1974.DOCX", "https://docs.wto.org/imrd/directdoc.asp?DDFDocuments/t/G/TBTN24/UGA1974.DOCX")</f>
      </c>
      <c r="P566" s="6">
        <f>HYPERLINK("https://docs.wto.org/imrd/directdoc.asp?DDFDocuments/u/G/TBTN24/UGA1974.DOCX", "https://docs.wto.org/imrd/directdoc.asp?DDFDocuments/u/G/TBTN24/UGA1974.DOCX")</f>
      </c>
      <c r="Q566" s="6">
        <f>HYPERLINK("https://docs.wto.org/imrd/directdoc.asp?DDFDocuments/v/G/TBTN24/UGA1974.DOCX", "https://docs.wto.org/imrd/directdoc.asp?DDFDocuments/v/G/TBTN24/UGA1974.DOCX")</f>
      </c>
    </row>
    <row r="567">
      <c r="A567" s="6" t="s">
        <v>2030</v>
      </c>
      <c r="B567" s="7">
        <v>45516</v>
      </c>
      <c r="C567" s="6">
        <f>HYPERLINK("https://eping.wto.org/en/Search?viewData= G/TBT/N/UGA/1972"," G/TBT/N/UGA/1972")</f>
      </c>
      <c r="D567" s="8" t="s">
        <v>2289</v>
      </c>
      <c r="E567" s="8" t="s">
        <v>2290</v>
      </c>
      <c r="F567" s="8" t="s">
        <v>2291</v>
      </c>
      <c r="G567" s="6" t="s">
        <v>2292</v>
      </c>
      <c r="H567" s="6" t="s">
        <v>1972</v>
      </c>
      <c r="I567" s="6" t="s">
        <v>81</v>
      </c>
      <c r="J567" s="6" t="s">
        <v>24</v>
      </c>
      <c r="K567" s="6"/>
      <c r="L567" s="7">
        <v>45576</v>
      </c>
      <c r="M567" s="6" t="s">
        <v>25</v>
      </c>
      <c r="N567" s="8" t="s">
        <v>2293</v>
      </c>
      <c r="O567" s="6">
        <f>HYPERLINK("https://docs.wto.org/imrd/directdoc.asp?DDFDocuments/t/G/TBTN24/UGA1972.DOCX", "https://docs.wto.org/imrd/directdoc.asp?DDFDocuments/t/G/TBTN24/UGA1972.DOCX")</f>
      </c>
      <c r="P567" s="6">
        <f>HYPERLINK("https://docs.wto.org/imrd/directdoc.asp?DDFDocuments/u/G/TBTN24/UGA1972.DOCX", "https://docs.wto.org/imrd/directdoc.asp?DDFDocuments/u/G/TBTN24/UGA1972.DOCX")</f>
      </c>
      <c r="Q567" s="6">
        <f>HYPERLINK("https://docs.wto.org/imrd/directdoc.asp?DDFDocuments/v/G/TBTN24/UGA1972.DOCX", "https://docs.wto.org/imrd/directdoc.asp?DDFDocuments/v/G/TBTN24/UGA1972.DOCX")</f>
      </c>
    </row>
    <row r="568">
      <c r="A568" s="6" t="s">
        <v>167</v>
      </c>
      <c r="B568" s="7">
        <v>45516</v>
      </c>
      <c r="C568" s="6">
        <f>HYPERLINK("https://eping.wto.org/en/Search?viewData= G/TBT/N/TUR/216"," G/TBT/N/TUR/216")</f>
      </c>
      <c r="D568" s="8" t="s">
        <v>2294</v>
      </c>
      <c r="E568" s="8" t="s">
        <v>2295</v>
      </c>
      <c r="F568" s="8" t="s">
        <v>2296</v>
      </c>
      <c r="G568" s="6" t="s">
        <v>40</v>
      </c>
      <c r="H568" s="6" t="s">
        <v>40</v>
      </c>
      <c r="I568" s="6" t="s">
        <v>2297</v>
      </c>
      <c r="J568" s="6" t="s">
        <v>40</v>
      </c>
      <c r="K568" s="6"/>
      <c r="L568" s="7">
        <v>45576</v>
      </c>
      <c r="M568" s="6" t="s">
        <v>25</v>
      </c>
      <c r="N568" s="8" t="s">
        <v>2298</v>
      </c>
      <c r="O568" s="6">
        <f>HYPERLINK("https://docs.wto.org/imrd/directdoc.asp?DDFDocuments/t/G/TBTN24/TUR216.DOCX", "https://docs.wto.org/imrd/directdoc.asp?DDFDocuments/t/G/TBTN24/TUR216.DOCX")</f>
      </c>
      <c r="P568" s="6">
        <f>HYPERLINK("https://docs.wto.org/imrd/directdoc.asp?DDFDocuments/u/G/TBTN24/TUR216.DOCX", "https://docs.wto.org/imrd/directdoc.asp?DDFDocuments/u/G/TBTN24/TUR216.DOCX")</f>
      </c>
      <c r="Q568" s="6">
        <f>HYPERLINK("https://docs.wto.org/imrd/directdoc.asp?DDFDocuments/v/G/TBTN24/TUR216.DOCX", "https://docs.wto.org/imrd/directdoc.asp?DDFDocuments/v/G/TBTN24/TUR216.DOCX")</f>
      </c>
    </row>
    <row r="569">
      <c r="A569" s="6" t="s">
        <v>2030</v>
      </c>
      <c r="B569" s="7">
        <v>45516</v>
      </c>
      <c r="C569" s="6">
        <f>HYPERLINK("https://eping.wto.org/en/Search?viewData= G/TBT/N/UGA/1978"," G/TBT/N/UGA/1978")</f>
      </c>
      <c r="D569" s="8" t="s">
        <v>2299</v>
      </c>
      <c r="E569" s="8" t="s">
        <v>2300</v>
      </c>
      <c r="F569" s="8" t="s">
        <v>2261</v>
      </c>
      <c r="G569" s="6" t="s">
        <v>2262</v>
      </c>
      <c r="H569" s="6" t="s">
        <v>22</v>
      </c>
      <c r="I569" s="6" t="s">
        <v>81</v>
      </c>
      <c r="J569" s="6" t="s">
        <v>24</v>
      </c>
      <c r="K569" s="6"/>
      <c r="L569" s="7">
        <v>45576</v>
      </c>
      <c r="M569" s="6" t="s">
        <v>25</v>
      </c>
      <c r="N569" s="8" t="s">
        <v>2301</v>
      </c>
      <c r="O569" s="6">
        <f>HYPERLINK("https://docs.wto.org/imrd/directdoc.asp?DDFDocuments/t/G/TBTN24/UGA1978.DOCX", "https://docs.wto.org/imrd/directdoc.asp?DDFDocuments/t/G/TBTN24/UGA1978.DOCX")</f>
      </c>
      <c r="P569" s="6">
        <f>HYPERLINK("https://docs.wto.org/imrd/directdoc.asp?DDFDocuments/u/G/TBTN24/UGA1978.DOCX", "https://docs.wto.org/imrd/directdoc.asp?DDFDocuments/u/G/TBTN24/UGA1978.DOCX")</f>
      </c>
      <c r="Q569" s="6">
        <f>HYPERLINK("https://docs.wto.org/imrd/directdoc.asp?DDFDocuments/v/G/TBTN24/UGA1978.DOCX", "https://docs.wto.org/imrd/directdoc.asp?DDFDocuments/v/G/TBTN24/UGA1978.DOCX")</f>
      </c>
    </row>
    <row r="570">
      <c r="A570" s="6" t="s">
        <v>2275</v>
      </c>
      <c r="B570" s="7">
        <v>45516</v>
      </c>
      <c r="C570" s="6">
        <f>HYPERLINK("https://eping.wto.org/en/Search?viewData= G/TBT/N/MAC/26"," G/TBT/N/MAC/26")</f>
      </c>
      <c r="D570" s="8" t="s">
        <v>2302</v>
      </c>
      <c r="E570" s="8" t="s">
        <v>2303</v>
      </c>
      <c r="F570" s="8" t="s">
        <v>2304</v>
      </c>
      <c r="G570" s="6" t="s">
        <v>2305</v>
      </c>
      <c r="H570" s="6" t="s">
        <v>40</v>
      </c>
      <c r="I570" s="6" t="s">
        <v>213</v>
      </c>
      <c r="J570" s="6" t="s">
        <v>40</v>
      </c>
      <c r="K570" s="6"/>
      <c r="L570" s="7" t="s">
        <v>40</v>
      </c>
      <c r="M570" s="6" t="s">
        <v>25</v>
      </c>
      <c r="N570" s="6"/>
      <c r="O570" s="6">
        <f>HYPERLINK("https://docs.wto.org/imrd/directdoc.asp?DDFDocuments/t/G/TBTN24/MAC26.DOCX", "https://docs.wto.org/imrd/directdoc.asp?DDFDocuments/t/G/TBTN24/MAC26.DOCX")</f>
      </c>
      <c r="P570" s="6">
        <f>HYPERLINK("https://docs.wto.org/imrd/directdoc.asp?DDFDocuments/u/G/TBTN24/MAC26.DOCX", "https://docs.wto.org/imrd/directdoc.asp?DDFDocuments/u/G/TBTN24/MAC26.DOCX")</f>
      </c>
      <c r="Q570" s="6">
        <f>HYPERLINK("https://docs.wto.org/imrd/directdoc.asp?DDFDocuments/v/G/TBTN24/MAC26.DOCX", "https://docs.wto.org/imrd/directdoc.asp?DDFDocuments/v/G/TBTN24/MAC26.DOCX")</f>
      </c>
    </row>
    <row r="571">
      <c r="A571" s="6" t="s">
        <v>2275</v>
      </c>
      <c r="B571" s="7">
        <v>45516</v>
      </c>
      <c r="C571" s="6">
        <f>HYPERLINK("https://eping.wto.org/en/Search?viewData= G/TBT/N/MAC/28"," G/TBT/N/MAC/28")</f>
      </c>
      <c r="D571" s="8" t="s">
        <v>2306</v>
      </c>
      <c r="E571" s="8" t="s">
        <v>2307</v>
      </c>
      <c r="F571" s="8" t="s">
        <v>2308</v>
      </c>
      <c r="G571" s="6" t="s">
        <v>40</v>
      </c>
      <c r="H571" s="6" t="s">
        <v>40</v>
      </c>
      <c r="I571" s="6" t="s">
        <v>147</v>
      </c>
      <c r="J571" s="6" t="s">
        <v>24</v>
      </c>
      <c r="K571" s="6"/>
      <c r="L571" s="7" t="s">
        <v>40</v>
      </c>
      <c r="M571" s="6" t="s">
        <v>25</v>
      </c>
      <c r="N571" s="6"/>
      <c r="O571" s="6">
        <f>HYPERLINK("https://docs.wto.org/imrd/directdoc.asp?DDFDocuments/t/G/TBTN24/MAC28.DOCX", "https://docs.wto.org/imrd/directdoc.asp?DDFDocuments/t/G/TBTN24/MAC28.DOCX")</f>
      </c>
      <c r="P571" s="6">
        <f>HYPERLINK("https://docs.wto.org/imrd/directdoc.asp?DDFDocuments/u/G/TBTN24/MAC28.DOCX", "https://docs.wto.org/imrd/directdoc.asp?DDFDocuments/u/G/TBTN24/MAC28.DOCX")</f>
      </c>
      <c r="Q571" s="6">
        <f>HYPERLINK("https://docs.wto.org/imrd/directdoc.asp?DDFDocuments/v/G/TBTN24/MAC28.DOCX", "https://docs.wto.org/imrd/directdoc.asp?DDFDocuments/v/G/TBTN24/MAC28.DOCX")</f>
      </c>
    </row>
    <row r="572">
      <c r="A572" s="6" t="s">
        <v>2229</v>
      </c>
      <c r="B572" s="7">
        <v>45516</v>
      </c>
      <c r="C572" s="6">
        <f>HYPERLINK("https://eping.wto.org/en/Search?viewData= G/SPS/N/PRY/37/Corr.1"," G/SPS/N/PRY/37/Corr.1")</f>
      </c>
      <c r="D572" s="8" t="s">
        <v>2309</v>
      </c>
      <c r="E572" s="8" t="s">
        <v>2309</v>
      </c>
      <c r="F572" s="8" t="s">
        <v>2310</v>
      </c>
      <c r="G572" s="6" t="s">
        <v>2311</v>
      </c>
      <c r="H572" s="6" t="s">
        <v>40</v>
      </c>
      <c r="I572" s="6" t="s">
        <v>2312</v>
      </c>
      <c r="J572" s="6" t="s">
        <v>2313</v>
      </c>
      <c r="K572" s="6"/>
      <c r="L572" s="7" t="s">
        <v>40</v>
      </c>
      <c r="M572" s="6" t="s">
        <v>224</v>
      </c>
      <c r="N572" s="6"/>
      <c r="O572" s="6">
        <f>HYPERLINK("https://docs.wto.org/imrd/directdoc.asp?DDFDocuments/t/G/SPS/NPRY37C1.DOCX", "https://docs.wto.org/imrd/directdoc.asp?DDFDocuments/t/G/SPS/NPRY37C1.DOCX")</f>
      </c>
      <c r="P572" s="6">
        <f>HYPERLINK("https://docs.wto.org/imrd/directdoc.asp?DDFDocuments/u/G/SPS/NPRY37C1.DOCX", "https://docs.wto.org/imrd/directdoc.asp?DDFDocuments/u/G/SPS/NPRY37C1.DOCX")</f>
      </c>
      <c r="Q572" s="6">
        <f>HYPERLINK("https://docs.wto.org/imrd/directdoc.asp?DDFDocuments/v/G/SPS/NPRY37C1.DOCX", "https://docs.wto.org/imrd/directdoc.asp?DDFDocuments/v/G/SPS/NPRY37C1.DOCX")</f>
      </c>
    </row>
    <row r="573">
      <c r="A573" s="6" t="s">
        <v>2030</v>
      </c>
      <c r="B573" s="7">
        <v>45516</v>
      </c>
      <c r="C573" s="6">
        <f>HYPERLINK("https://eping.wto.org/en/Search?viewData= G/SPS/N/UGA/355"," G/SPS/N/UGA/355")</f>
      </c>
      <c r="D573" s="8" t="s">
        <v>2314</v>
      </c>
      <c r="E573" s="8" t="s">
        <v>2315</v>
      </c>
      <c r="F573" s="8" t="s">
        <v>2316</v>
      </c>
      <c r="G573" s="6" t="s">
        <v>767</v>
      </c>
      <c r="H573" s="6" t="s">
        <v>22</v>
      </c>
      <c r="I573" s="6" t="s">
        <v>38</v>
      </c>
      <c r="J573" s="6" t="s">
        <v>60</v>
      </c>
      <c r="K573" s="6"/>
      <c r="L573" s="7">
        <v>45576</v>
      </c>
      <c r="M573" s="6" t="s">
        <v>25</v>
      </c>
      <c r="N573" s="8" t="s">
        <v>2317</v>
      </c>
      <c r="O573" s="6">
        <f>HYPERLINK("https://docs.wto.org/imrd/directdoc.asp?DDFDocuments/t/G/SPS/NUGA355.DOCX", "https://docs.wto.org/imrd/directdoc.asp?DDFDocuments/t/G/SPS/NUGA355.DOCX")</f>
      </c>
      <c r="P573" s="6">
        <f>HYPERLINK("https://docs.wto.org/imrd/directdoc.asp?DDFDocuments/u/G/SPS/NUGA355.DOCX", "https://docs.wto.org/imrd/directdoc.asp?DDFDocuments/u/G/SPS/NUGA355.DOCX")</f>
      </c>
      <c r="Q573" s="6">
        <f>HYPERLINK("https://docs.wto.org/imrd/directdoc.asp?DDFDocuments/v/G/SPS/NUGA355.DOCX", "https://docs.wto.org/imrd/directdoc.asp?DDFDocuments/v/G/SPS/NUGA355.DOCX")</f>
      </c>
    </row>
    <row r="574">
      <c r="A574" s="6" t="s">
        <v>2030</v>
      </c>
      <c r="B574" s="7">
        <v>45516</v>
      </c>
      <c r="C574" s="6">
        <f>HYPERLINK("https://eping.wto.org/en/Search?viewData= G/SPS/N/UGA/363"," G/SPS/N/UGA/363")</f>
      </c>
      <c r="D574" s="8" t="s">
        <v>2123</v>
      </c>
      <c r="E574" s="8" t="s">
        <v>2318</v>
      </c>
      <c r="F574" s="8" t="s">
        <v>2125</v>
      </c>
      <c r="G574" s="6" t="s">
        <v>2126</v>
      </c>
      <c r="H574" s="6" t="s">
        <v>1972</v>
      </c>
      <c r="I574" s="6" t="s">
        <v>38</v>
      </c>
      <c r="J574" s="6" t="s">
        <v>60</v>
      </c>
      <c r="K574" s="6"/>
      <c r="L574" s="7">
        <v>45576</v>
      </c>
      <c r="M574" s="6" t="s">
        <v>25</v>
      </c>
      <c r="N574" s="8" t="s">
        <v>2319</v>
      </c>
      <c r="O574" s="6">
        <f>HYPERLINK("https://docs.wto.org/imrd/directdoc.asp?DDFDocuments/t/G/SPS/NUGA363.DOCX", "https://docs.wto.org/imrd/directdoc.asp?DDFDocuments/t/G/SPS/NUGA363.DOCX")</f>
      </c>
      <c r="P574" s="6">
        <f>HYPERLINK("https://docs.wto.org/imrd/directdoc.asp?DDFDocuments/u/G/SPS/NUGA363.DOCX", "https://docs.wto.org/imrd/directdoc.asp?DDFDocuments/u/G/SPS/NUGA363.DOCX")</f>
      </c>
      <c r="Q574" s="6">
        <f>HYPERLINK("https://docs.wto.org/imrd/directdoc.asp?DDFDocuments/v/G/SPS/NUGA363.DOCX", "https://docs.wto.org/imrd/directdoc.asp?DDFDocuments/v/G/SPS/NUGA363.DOCX")</f>
      </c>
    </row>
    <row r="575">
      <c r="A575" s="6" t="s">
        <v>2030</v>
      </c>
      <c r="B575" s="7">
        <v>45516</v>
      </c>
      <c r="C575" s="6">
        <f>HYPERLINK("https://eping.wto.org/en/Search?viewData= G/SPS/N/UGA/348"," G/SPS/N/UGA/348")</f>
      </c>
      <c r="D575" s="8" t="s">
        <v>2284</v>
      </c>
      <c r="E575" s="8" t="s">
        <v>2320</v>
      </c>
      <c r="F575" s="8" t="s">
        <v>2286</v>
      </c>
      <c r="G575" s="6" t="s">
        <v>2287</v>
      </c>
      <c r="H575" s="6" t="s">
        <v>1972</v>
      </c>
      <c r="I575" s="6" t="s">
        <v>38</v>
      </c>
      <c r="J575" s="6" t="s">
        <v>60</v>
      </c>
      <c r="K575" s="6"/>
      <c r="L575" s="7">
        <v>45576</v>
      </c>
      <c r="M575" s="6" t="s">
        <v>25</v>
      </c>
      <c r="N575" s="8" t="s">
        <v>2321</v>
      </c>
      <c r="O575" s="6">
        <f>HYPERLINK("https://docs.wto.org/imrd/directdoc.asp?DDFDocuments/t/G/SPS/NUGA348.DOCX", "https://docs.wto.org/imrd/directdoc.asp?DDFDocuments/t/G/SPS/NUGA348.DOCX")</f>
      </c>
      <c r="P575" s="6">
        <f>HYPERLINK("https://docs.wto.org/imrd/directdoc.asp?DDFDocuments/u/G/SPS/NUGA348.DOCX", "https://docs.wto.org/imrd/directdoc.asp?DDFDocuments/u/G/SPS/NUGA348.DOCX")</f>
      </c>
      <c r="Q575" s="6">
        <f>HYPERLINK("https://docs.wto.org/imrd/directdoc.asp?DDFDocuments/v/G/SPS/NUGA348.DOCX", "https://docs.wto.org/imrd/directdoc.asp?DDFDocuments/v/G/SPS/NUGA348.DOCX")</f>
      </c>
    </row>
    <row r="576">
      <c r="A576" s="6" t="s">
        <v>2030</v>
      </c>
      <c r="B576" s="7">
        <v>45516</v>
      </c>
      <c r="C576" s="6">
        <f>HYPERLINK("https://eping.wto.org/en/Search?viewData= G/SPS/N/UGA/354"," G/SPS/N/UGA/354")</f>
      </c>
      <c r="D576" s="8" t="s">
        <v>2080</v>
      </c>
      <c r="E576" s="8" t="s">
        <v>2081</v>
      </c>
      <c r="F576" s="8" t="s">
        <v>2082</v>
      </c>
      <c r="G576" s="6" t="s">
        <v>2083</v>
      </c>
      <c r="H576" s="6" t="s">
        <v>22</v>
      </c>
      <c r="I576" s="6" t="s">
        <v>38</v>
      </c>
      <c r="J576" s="6" t="s">
        <v>60</v>
      </c>
      <c r="K576" s="6"/>
      <c r="L576" s="7">
        <v>45576</v>
      </c>
      <c r="M576" s="6" t="s">
        <v>25</v>
      </c>
      <c r="N576" s="8" t="s">
        <v>2322</v>
      </c>
      <c r="O576" s="6">
        <f>HYPERLINK("https://docs.wto.org/imrd/directdoc.asp?DDFDocuments/t/G/SPS/NUGA354.DOCX", "https://docs.wto.org/imrd/directdoc.asp?DDFDocuments/t/G/SPS/NUGA354.DOCX")</f>
      </c>
      <c r="P576" s="6">
        <f>HYPERLINK("https://docs.wto.org/imrd/directdoc.asp?DDFDocuments/u/G/SPS/NUGA354.DOCX", "https://docs.wto.org/imrd/directdoc.asp?DDFDocuments/u/G/SPS/NUGA354.DOCX")</f>
      </c>
      <c r="Q576" s="6">
        <f>HYPERLINK("https://docs.wto.org/imrd/directdoc.asp?DDFDocuments/v/G/SPS/NUGA354.DOCX", "https://docs.wto.org/imrd/directdoc.asp?DDFDocuments/v/G/SPS/NUGA354.DOCX")</f>
      </c>
    </row>
    <row r="577">
      <c r="A577" s="6" t="s">
        <v>115</v>
      </c>
      <c r="B577" s="7">
        <v>45516</v>
      </c>
      <c r="C577" s="6">
        <f>HYPERLINK("https://eping.wto.org/en/Search?viewData= G/TBT/N/BRA/986/Add.1"," G/TBT/N/BRA/986/Add.1")</f>
      </c>
      <c r="D577" s="8" t="s">
        <v>2323</v>
      </c>
      <c r="E577" s="8" t="s">
        <v>2324</v>
      </c>
      <c r="F577" s="8" t="s">
        <v>2325</v>
      </c>
      <c r="G577" s="6" t="s">
        <v>40</v>
      </c>
      <c r="H577" s="6" t="s">
        <v>2326</v>
      </c>
      <c r="I577" s="6" t="s">
        <v>191</v>
      </c>
      <c r="J577" s="6" t="s">
        <v>40</v>
      </c>
      <c r="K577" s="6"/>
      <c r="L577" s="7" t="s">
        <v>40</v>
      </c>
      <c r="M577" s="6" t="s">
        <v>76</v>
      </c>
      <c r="N577" s="8" t="s">
        <v>2327</v>
      </c>
      <c r="O577" s="6">
        <f>HYPERLINK("https://docs.wto.org/imrd/directdoc.asp?DDFDocuments/t/G/TBTN20/BRA986A1.DOCX", "https://docs.wto.org/imrd/directdoc.asp?DDFDocuments/t/G/TBTN20/BRA986A1.DOCX")</f>
      </c>
      <c r="P577" s="6">
        <f>HYPERLINK("https://docs.wto.org/imrd/directdoc.asp?DDFDocuments/u/G/TBTN20/BRA986A1.DOCX", "https://docs.wto.org/imrd/directdoc.asp?DDFDocuments/u/G/TBTN20/BRA986A1.DOCX")</f>
      </c>
      <c r="Q577" s="6">
        <f>HYPERLINK("https://docs.wto.org/imrd/directdoc.asp?DDFDocuments/v/G/TBTN20/BRA986A1.DOCX", "https://docs.wto.org/imrd/directdoc.asp?DDFDocuments/v/G/TBTN20/BRA986A1.DOCX")</f>
      </c>
    </row>
    <row r="578">
      <c r="A578" s="6" t="s">
        <v>2030</v>
      </c>
      <c r="B578" s="7">
        <v>45516</v>
      </c>
      <c r="C578" s="6">
        <f>HYPERLINK("https://eping.wto.org/en/Search?viewData= G/SPS/N/UGA/360"," G/SPS/N/UGA/360")</f>
      </c>
      <c r="D578" s="8" t="s">
        <v>2186</v>
      </c>
      <c r="E578" s="8" t="s">
        <v>2187</v>
      </c>
      <c r="F578" s="8" t="s">
        <v>2188</v>
      </c>
      <c r="G578" s="6" t="s">
        <v>2189</v>
      </c>
      <c r="H578" s="6" t="s">
        <v>22</v>
      </c>
      <c r="I578" s="6" t="s">
        <v>38</v>
      </c>
      <c r="J578" s="6" t="s">
        <v>39</v>
      </c>
      <c r="K578" s="6"/>
      <c r="L578" s="7">
        <v>45576</v>
      </c>
      <c r="M578" s="6" t="s">
        <v>25</v>
      </c>
      <c r="N578" s="8" t="s">
        <v>2328</v>
      </c>
      <c r="O578" s="6">
        <f>HYPERLINK("https://docs.wto.org/imrd/directdoc.asp?DDFDocuments/t/G/SPS/NUGA360.DOCX", "https://docs.wto.org/imrd/directdoc.asp?DDFDocuments/t/G/SPS/NUGA360.DOCX")</f>
      </c>
      <c r="P578" s="6">
        <f>HYPERLINK("https://docs.wto.org/imrd/directdoc.asp?DDFDocuments/u/G/SPS/NUGA360.DOCX", "https://docs.wto.org/imrd/directdoc.asp?DDFDocuments/u/G/SPS/NUGA360.DOCX")</f>
      </c>
      <c r="Q578" s="6">
        <f>HYPERLINK("https://docs.wto.org/imrd/directdoc.asp?DDFDocuments/v/G/SPS/NUGA360.DOCX", "https://docs.wto.org/imrd/directdoc.asp?DDFDocuments/v/G/SPS/NUGA360.DOCX")</f>
      </c>
    </row>
    <row r="579">
      <c r="A579" s="6" t="s">
        <v>2030</v>
      </c>
      <c r="B579" s="7">
        <v>45516</v>
      </c>
      <c r="C579" s="6">
        <f>HYPERLINK("https://eping.wto.org/en/Search?viewData= G/SPS/N/UGA/351"," G/SPS/N/UGA/351")</f>
      </c>
      <c r="D579" s="8" t="s">
        <v>2329</v>
      </c>
      <c r="E579" s="8" t="s">
        <v>2330</v>
      </c>
      <c r="F579" s="8" t="s">
        <v>2331</v>
      </c>
      <c r="G579" s="6" t="s">
        <v>2262</v>
      </c>
      <c r="H579" s="6" t="s">
        <v>22</v>
      </c>
      <c r="I579" s="6" t="s">
        <v>38</v>
      </c>
      <c r="J579" s="6" t="s">
        <v>60</v>
      </c>
      <c r="K579" s="6"/>
      <c r="L579" s="7">
        <v>45576</v>
      </c>
      <c r="M579" s="6" t="s">
        <v>25</v>
      </c>
      <c r="N579" s="8" t="s">
        <v>2332</v>
      </c>
      <c r="O579" s="6">
        <f>HYPERLINK("https://docs.wto.org/imrd/directdoc.asp?DDFDocuments/t/G/SPS/NUGA351.DOCX", "https://docs.wto.org/imrd/directdoc.asp?DDFDocuments/t/G/SPS/NUGA351.DOCX")</f>
      </c>
      <c r="P579" s="6">
        <f>HYPERLINK("https://docs.wto.org/imrd/directdoc.asp?DDFDocuments/u/G/SPS/NUGA351.DOCX", "https://docs.wto.org/imrd/directdoc.asp?DDFDocuments/u/G/SPS/NUGA351.DOCX")</f>
      </c>
      <c r="Q579" s="6">
        <f>HYPERLINK("https://docs.wto.org/imrd/directdoc.asp?DDFDocuments/v/G/SPS/NUGA351.DOCX", "https://docs.wto.org/imrd/directdoc.asp?DDFDocuments/v/G/SPS/NUGA351.DOCX")</f>
      </c>
    </row>
    <row r="580">
      <c r="A580" s="6" t="s">
        <v>198</v>
      </c>
      <c r="B580" s="7">
        <v>45516</v>
      </c>
      <c r="C580" s="6">
        <f>HYPERLINK("https://eping.wto.org/en/Search?viewData= G/TBT/N/CHL/677/Add.1"," G/TBT/N/CHL/677/Add.1")</f>
      </c>
      <c r="D580" s="8" t="s">
        <v>1199</v>
      </c>
      <c r="E580" s="8" t="s">
        <v>2333</v>
      </c>
      <c r="F580" s="8" t="s">
        <v>1201</v>
      </c>
      <c r="G580" s="6" t="s">
        <v>40</v>
      </c>
      <c r="H580" s="6" t="s">
        <v>1202</v>
      </c>
      <c r="I580" s="6" t="s">
        <v>213</v>
      </c>
      <c r="J580" s="6" t="s">
        <v>40</v>
      </c>
      <c r="K580" s="6"/>
      <c r="L580" s="7" t="s">
        <v>40</v>
      </c>
      <c r="M580" s="6" t="s">
        <v>76</v>
      </c>
      <c r="N580" s="8" t="s">
        <v>2334</v>
      </c>
      <c r="O580" s="6">
        <f>HYPERLINK("https://docs.wto.org/imrd/directdoc.asp?DDFDocuments/t/G/TBTN24/CHL677A1.DOCX", "https://docs.wto.org/imrd/directdoc.asp?DDFDocuments/t/G/TBTN24/CHL677A1.DOCX")</f>
      </c>
      <c r="P580" s="6">
        <f>HYPERLINK("https://docs.wto.org/imrd/directdoc.asp?DDFDocuments/u/G/TBTN24/CHL677A1.DOCX", "https://docs.wto.org/imrd/directdoc.asp?DDFDocuments/u/G/TBTN24/CHL677A1.DOCX")</f>
      </c>
      <c r="Q580" s="6">
        <f>HYPERLINK("https://docs.wto.org/imrd/directdoc.asp?DDFDocuments/v/G/TBTN24/CHL677A1.DOCX", "https://docs.wto.org/imrd/directdoc.asp?DDFDocuments/v/G/TBTN24/CHL677A1.DOCX")</f>
      </c>
    </row>
    <row r="581">
      <c r="A581" s="6" t="s">
        <v>167</v>
      </c>
      <c r="B581" s="7">
        <v>45516</v>
      </c>
      <c r="C581" s="6">
        <f>HYPERLINK("https://eping.wto.org/en/Search?viewData= G/TBT/N/TUR/214"," G/TBT/N/TUR/214")</f>
      </c>
      <c r="D581" s="8" t="s">
        <v>2335</v>
      </c>
      <c r="E581" s="8" t="s">
        <v>2336</v>
      </c>
      <c r="F581" s="8" t="s">
        <v>2337</v>
      </c>
      <c r="G581" s="6" t="s">
        <v>40</v>
      </c>
      <c r="H581" s="6" t="s">
        <v>40</v>
      </c>
      <c r="I581" s="6" t="s">
        <v>2338</v>
      </c>
      <c r="J581" s="6" t="s">
        <v>40</v>
      </c>
      <c r="K581" s="6"/>
      <c r="L581" s="7">
        <v>45576</v>
      </c>
      <c r="M581" s="6" t="s">
        <v>25</v>
      </c>
      <c r="N581" s="8" t="s">
        <v>2339</v>
      </c>
      <c r="O581" s="6">
        <f>HYPERLINK("https://docs.wto.org/imrd/directdoc.asp?DDFDocuments/t/G/TBTN24/TUR214.DOCX", "https://docs.wto.org/imrd/directdoc.asp?DDFDocuments/t/G/TBTN24/TUR214.DOCX")</f>
      </c>
      <c r="P581" s="6">
        <f>HYPERLINK("https://docs.wto.org/imrd/directdoc.asp?DDFDocuments/u/G/TBTN24/TUR214.DOCX", "https://docs.wto.org/imrd/directdoc.asp?DDFDocuments/u/G/TBTN24/TUR214.DOCX")</f>
      </c>
      <c r="Q581" s="6">
        <f>HYPERLINK("https://docs.wto.org/imrd/directdoc.asp?DDFDocuments/v/G/TBTN24/TUR214.DOCX", "https://docs.wto.org/imrd/directdoc.asp?DDFDocuments/v/G/TBTN24/TUR214.DOCX")</f>
      </c>
    </row>
    <row r="582">
      <c r="A582" s="6" t="s">
        <v>2030</v>
      </c>
      <c r="B582" s="7">
        <v>45516</v>
      </c>
      <c r="C582" s="6">
        <f>HYPERLINK("https://eping.wto.org/en/Search?viewData= G/SPS/N/UGA/349"," G/SPS/N/UGA/349")</f>
      </c>
      <c r="D582" s="8" t="s">
        <v>2340</v>
      </c>
      <c r="E582" s="8" t="s">
        <v>2341</v>
      </c>
      <c r="F582" s="8" t="s">
        <v>2342</v>
      </c>
      <c r="G582" s="6" t="s">
        <v>2343</v>
      </c>
      <c r="H582" s="6" t="s">
        <v>22</v>
      </c>
      <c r="I582" s="6" t="s">
        <v>38</v>
      </c>
      <c r="J582" s="6" t="s">
        <v>60</v>
      </c>
      <c r="K582" s="6"/>
      <c r="L582" s="7">
        <v>45576</v>
      </c>
      <c r="M582" s="6" t="s">
        <v>25</v>
      </c>
      <c r="N582" s="8" t="s">
        <v>2344</v>
      </c>
      <c r="O582" s="6">
        <f>HYPERLINK("https://docs.wto.org/imrd/directdoc.asp?DDFDocuments/t/G/SPS/NUGA349.DOCX", "https://docs.wto.org/imrd/directdoc.asp?DDFDocuments/t/G/SPS/NUGA349.DOCX")</f>
      </c>
      <c r="P582" s="6">
        <f>HYPERLINK("https://docs.wto.org/imrd/directdoc.asp?DDFDocuments/u/G/SPS/NUGA349.DOCX", "https://docs.wto.org/imrd/directdoc.asp?DDFDocuments/u/G/SPS/NUGA349.DOCX")</f>
      </c>
      <c r="Q582" s="6">
        <f>HYPERLINK("https://docs.wto.org/imrd/directdoc.asp?DDFDocuments/v/G/SPS/NUGA349.DOCX", "https://docs.wto.org/imrd/directdoc.asp?DDFDocuments/v/G/SPS/NUGA349.DOCX")</f>
      </c>
    </row>
    <row r="583">
      <c r="A583" s="6" t="s">
        <v>2030</v>
      </c>
      <c r="B583" s="7">
        <v>45516</v>
      </c>
      <c r="C583" s="6">
        <f>HYPERLINK("https://eping.wto.org/en/Search?viewData= G/SPS/N/UGA/357"," G/SPS/N/UGA/357")</f>
      </c>
      <c r="D583" s="8" t="s">
        <v>2206</v>
      </c>
      <c r="E583" s="8" t="s">
        <v>2207</v>
      </c>
      <c r="F583" s="8" t="s">
        <v>2345</v>
      </c>
      <c r="G583" s="6" t="s">
        <v>851</v>
      </c>
      <c r="H583" s="6" t="s">
        <v>1972</v>
      </c>
      <c r="I583" s="6" t="s">
        <v>38</v>
      </c>
      <c r="J583" s="6" t="s">
        <v>60</v>
      </c>
      <c r="K583" s="6"/>
      <c r="L583" s="7">
        <v>45576</v>
      </c>
      <c r="M583" s="6" t="s">
        <v>25</v>
      </c>
      <c r="N583" s="8" t="s">
        <v>2346</v>
      </c>
      <c r="O583" s="6">
        <f>HYPERLINK("https://docs.wto.org/imrd/directdoc.asp?DDFDocuments/t/G/SPS/NUGA357.DOCX", "https://docs.wto.org/imrd/directdoc.asp?DDFDocuments/t/G/SPS/NUGA357.DOCX")</f>
      </c>
      <c r="P583" s="6">
        <f>HYPERLINK("https://docs.wto.org/imrd/directdoc.asp?DDFDocuments/u/G/SPS/NUGA357.DOCX", "https://docs.wto.org/imrd/directdoc.asp?DDFDocuments/u/G/SPS/NUGA357.DOCX")</f>
      </c>
      <c r="Q583" s="6">
        <f>HYPERLINK("https://docs.wto.org/imrd/directdoc.asp?DDFDocuments/v/G/SPS/NUGA357.DOCX", "https://docs.wto.org/imrd/directdoc.asp?DDFDocuments/v/G/SPS/NUGA357.DOCX")</f>
      </c>
    </row>
    <row r="584">
      <c r="A584" s="6" t="s">
        <v>322</v>
      </c>
      <c r="B584" s="7">
        <v>45516</v>
      </c>
      <c r="C584" s="6">
        <f>HYPERLINK("https://eping.wto.org/en/Search?viewData= G/TBT/N/TPKM/546"," G/TBT/N/TPKM/546")</f>
      </c>
      <c r="D584" s="8" t="s">
        <v>2347</v>
      </c>
      <c r="E584" s="8" t="s">
        <v>2348</v>
      </c>
      <c r="F584" s="8" t="s">
        <v>2349</v>
      </c>
      <c r="G584" s="6" t="s">
        <v>2350</v>
      </c>
      <c r="H584" s="6" t="s">
        <v>40</v>
      </c>
      <c r="I584" s="6" t="s">
        <v>147</v>
      </c>
      <c r="J584" s="6" t="s">
        <v>40</v>
      </c>
      <c r="K584" s="6"/>
      <c r="L584" s="7">
        <v>45576</v>
      </c>
      <c r="M584" s="6" t="s">
        <v>25</v>
      </c>
      <c r="N584" s="8" t="s">
        <v>2351</v>
      </c>
      <c r="O584" s="6">
        <f>HYPERLINK("https://docs.wto.org/imrd/directdoc.asp?DDFDocuments/t/G/TBTN24/TPKM546.DOCX", "https://docs.wto.org/imrd/directdoc.asp?DDFDocuments/t/G/TBTN24/TPKM546.DOCX")</f>
      </c>
      <c r="P584" s="6">
        <f>HYPERLINK("https://docs.wto.org/imrd/directdoc.asp?DDFDocuments/u/G/TBTN24/TPKM546.DOCX", "https://docs.wto.org/imrd/directdoc.asp?DDFDocuments/u/G/TBTN24/TPKM546.DOCX")</f>
      </c>
      <c r="Q584" s="6">
        <f>HYPERLINK("https://docs.wto.org/imrd/directdoc.asp?DDFDocuments/v/G/TBTN24/TPKM546.DOCX", "https://docs.wto.org/imrd/directdoc.asp?DDFDocuments/v/G/TBTN24/TPKM546.DOCX")</f>
      </c>
    </row>
    <row r="585">
      <c r="A585" s="6" t="s">
        <v>2030</v>
      </c>
      <c r="B585" s="7">
        <v>45516</v>
      </c>
      <c r="C585" s="6">
        <f>HYPERLINK("https://eping.wto.org/en/Search?viewData= G/TBT/N/UGA/1975"," G/TBT/N/UGA/1975")</f>
      </c>
      <c r="D585" s="8" t="s">
        <v>2352</v>
      </c>
      <c r="E585" s="8" t="s">
        <v>2353</v>
      </c>
      <c r="F585" s="8" t="s">
        <v>2354</v>
      </c>
      <c r="G585" s="6" t="s">
        <v>2282</v>
      </c>
      <c r="H585" s="6" t="s">
        <v>22</v>
      </c>
      <c r="I585" s="6" t="s">
        <v>81</v>
      </c>
      <c r="J585" s="6" t="s">
        <v>24</v>
      </c>
      <c r="K585" s="6"/>
      <c r="L585" s="7">
        <v>45576</v>
      </c>
      <c r="M585" s="6" t="s">
        <v>25</v>
      </c>
      <c r="N585" s="8" t="s">
        <v>2355</v>
      </c>
      <c r="O585" s="6">
        <f>HYPERLINK("https://docs.wto.org/imrd/directdoc.asp?DDFDocuments/t/G/TBTN24/UGA1975.DOCX", "https://docs.wto.org/imrd/directdoc.asp?DDFDocuments/t/G/TBTN24/UGA1975.DOCX")</f>
      </c>
      <c r="P585" s="6">
        <f>HYPERLINK("https://docs.wto.org/imrd/directdoc.asp?DDFDocuments/u/G/TBTN24/UGA1975.DOCX", "https://docs.wto.org/imrd/directdoc.asp?DDFDocuments/u/G/TBTN24/UGA1975.DOCX")</f>
      </c>
      <c r="Q585" s="6">
        <f>HYPERLINK("https://docs.wto.org/imrd/directdoc.asp?DDFDocuments/v/G/TBTN24/UGA1975.DOCX", "https://docs.wto.org/imrd/directdoc.asp?DDFDocuments/v/G/TBTN24/UGA1975.DOCX")</f>
      </c>
    </row>
    <row r="586">
      <c r="A586" s="6" t="s">
        <v>115</v>
      </c>
      <c r="B586" s="7">
        <v>45516</v>
      </c>
      <c r="C586" s="6">
        <f>HYPERLINK("https://eping.wto.org/en/Search?viewData= G/SPS/N/BRA/2320"," G/SPS/N/BRA/2320")</f>
      </c>
      <c r="D586" s="8" t="s">
        <v>2356</v>
      </c>
      <c r="E586" s="8" t="s">
        <v>2357</v>
      </c>
      <c r="F586" s="8" t="s">
        <v>2358</v>
      </c>
      <c r="G586" s="6" t="s">
        <v>40</v>
      </c>
      <c r="H586" s="6" t="s">
        <v>40</v>
      </c>
      <c r="I586" s="6" t="s">
        <v>184</v>
      </c>
      <c r="J586" s="6" t="s">
        <v>410</v>
      </c>
      <c r="K586" s="6" t="s">
        <v>198</v>
      </c>
      <c r="L586" s="7" t="s">
        <v>40</v>
      </c>
      <c r="M586" s="6" t="s">
        <v>25</v>
      </c>
      <c r="N586" s="8" t="s">
        <v>2359</v>
      </c>
      <c r="O586" s="6">
        <f>HYPERLINK("https://docs.wto.org/imrd/directdoc.asp?DDFDocuments/t/G/SPS/NBRA2320.DOCX", "https://docs.wto.org/imrd/directdoc.asp?DDFDocuments/t/G/SPS/NBRA2320.DOCX")</f>
      </c>
      <c r="P586" s="6">
        <f>HYPERLINK("https://docs.wto.org/imrd/directdoc.asp?DDFDocuments/u/G/SPS/NBRA2320.DOCX", "https://docs.wto.org/imrd/directdoc.asp?DDFDocuments/u/G/SPS/NBRA2320.DOCX")</f>
      </c>
      <c r="Q586" s="6">
        <f>HYPERLINK("https://docs.wto.org/imrd/directdoc.asp?DDFDocuments/v/G/SPS/NBRA2320.DOCX", "https://docs.wto.org/imrd/directdoc.asp?DDFDocuments/v/G/SPS/NBRA2320.DOCX")</f>
      </c>
    </row>
    <row r="587">
      <c r="A587" s="6" t="s">
        <v>2030</v>
      </c>
      <c r="B587" s="7">
        <v>45516</v>
      </c>
      <c r="C587" s="6">
        <f>HYPERLINK("https://eping.wto.org/en/Search?viewData= G/SPS/N/UGA/350"," G/SPS/N/UGA/350")</f>
      </c>
      <c r="D587" s="8" t="s">
        <v>2360</v>
      </c>
      <c r="E587" s="8" t="s">
        <v>2361</v>
      </c>
      <c r="F587" s="8" t="s">
        <v>2362</v>
      </c>
      <c r="G587" s="6" t="s">
        <v>2282</v>
      </c>
      <c r="H587" s="6" t="s">
        <v>22</v>
      </c>
      <c r="I587" s="6" t="s">
        <v>38</v>
      </c>
      <c r="J587" s="6" t="s">
        <v>60</v>
      </c>
      <c r="K587" s="6"/>
      <c r="L587" s="7">
        <v>45576</v>
      </c>
      <c r="M587" s="6" t="s">
        <v>25</v>
      </c>
      <c r="N587" s="8" t="s">
        <v>2363</v>
      </c>
      <c r="O587" s="6">
        <f>HYPERLINK("https://docs.wto.org/imrd/directdoc.asp?DDFDocuments/t/G/SPS/NUGA350.DOCX", "https://docs.wto.org/imrd/directdoc.asp?DDFDocuments/t/G/SPS/NUGA350.DOCX")</f>
      </c>
      <c r="P587" s="6">
        <f>HYPERLINK("https://docs.wto.org/imrd/directdoc.asp?DDFDocuments/u/G/SPS/NUGA350.DOCX", "https://docs.wto.org/imrd/directdoc.asp?DDFDocuments/u/G/SPS/NUGA350.DOCX")</f>
      </c>
      <c r="Q587" s="6">
        <f>HYPERLINK("https://docs.wto.org/imrd/directdoc.asp?DDFDocuments/v/G/SPS/NUGA350.DOCX", "https://docs.wto.org/imrd/directdoc.asp?DDFDocuments/v/G/SPS/NUGA350.DOCX")</f>
      </c>
    </row>
    <row r="588">
      <c r="A588" s="6" t="s">
        <v>1775</v>
      </c>
      <c r="B588" s="7">
        <v>45516</v>
      </c>
      <c r="C588" s="6">
        <f>HYPERLINK("https://eping.wto.org/en/Search?viewData= G/TBT/N/PHL/334"," G/TBT/N/PHL/334")</f>
      </c>
      <c r="D588" s="8" t="s">
        <v>2364</v>
      </c>
      <c r="E588" s="8" t="s">
        <v>2365</v>
      </c>
      <c r="F588" s="8" t="s">
        <v>2366</v>
      </c>
      <c r="G588" s="6" t="s">
        <v>2367</v>
      </c>
      <c r="H588" s="6" t="s">
        <v>2368</v>
      </c>
      <c r="I588" s="6" t="s">
        <v>142</v>
      </c>
      <c r="J588" s="6" t="s">
        <v>95</v>
      </c>
      <c r="K588" s="6"/>
      <c r="L588" s="7">
        <v>45576</v>
      </c>
      <c r="M588" s="6" t="s">
        <v>25</v>
      </c>
      <c r="N588" s="8" t="s">
        <v>2369</v>
      </c>
      <c r="O588" s="6">
        <f>HYPERLINK("https://docs.wto.org/imrd/directdoc.asp?DDFDocuments/t/G/TBTN24/PHL334.DOCX", "https://docs.wto.org/imrd/directdoc.asp?DDFDocuments/t/G/TBTN24/PHL334.DOCX")</f>
      </c>
      <c r="P588" s="6">
        <f>HYPERLINK("https://docs.wto.org/imrd/directdoc.asp?DDFDocuments/u/G/TBTN24/PHL334.DOCX", "https://docs.wto.org/imrd/directdoc.asp?DDFDocuments/u/G/TBTN24/PHL334.DOCX")</f>
      </c>
      <c r="Q588" s="6">
        <f>HYPERLINK("https://docs.wto.org/imrd/directdoc.asp?DDFDocuments/v/G/TBTN24/PHL334.DOCX", "https://docs.wto.org/imrd/directdoc.asp?DDFDocuments/v/G/TBTN24/PHL334.DOCX")</f>
      </c>
    </row>
    <row r="589">
      <c r="A589" s="6" t="s">
        <v>2030</v>
      </c>
      <c r="B589" s="7">
        <v>45516</v>
      </c>
      <c r="C589" s="6">
        <f>HYPERLINK("https://eping.wto.org/en/Search?viewData= G/TBT/N/UGA/1977"," G/TBT/N/UGA/1977")</f>
      </c>
      <c r="D589" s="8" t="s">
        <v>2329</v>
      </c>
      <c r="E589" s="8" t="s">
        <v>2330</v>
      </c>
      <c r="F589" s="8" t="s">
        <v>2370</v>
      </c>
      <c r="G589" s="6" t="s">
        <v>2262</v>
      </c>
      <c r="H589" s="6" t="s">
        <v>22</v>
      </c>
      <c r="I589" s="6" t="s">
        <v>81</v>
      </c>
      <c r="J589" s="6" t="s">
        <v>24</v>
      </c>
      <c r="K589" s="6"/>
      <c r="L589" s="7">
        <v>45576</v>
      </c>
      <c r="M589" s="6" t="s">
        <v>25</v>
      </c>
      <c r="N589" s="8" t="s">
        <v>2371</v>
      </c>
      <c r="O589" s="6">
        <f>HYPERLINK("https://docs.wto.org/imrd/directdoc.asp?DDFDocuments/t/G/TBTN24/UGA1977.DOCX", "https://docs.wto.org/imrd/directdoc.asp?DDFDocuments/t/G/TBTN24/UGA1977.DOCX")</f>
      </c>
      <c r="P589" s="6">
        <f>HYPERLINK("https://docs.wto.org/imrd/directdoc.asp?DDFDocuments/u/G/TBTN24/UGA1977.DOCX", "https://docs.wto.org/imrd/directdoc.asp?DDFDocuments/u/G/TBTN24/UGA1977.DOCX")</f>
      </c>
      <c r="Q589" s="6">
        <f>HYPERLINK("https://docs.wto.org/imrd/directdoc.asp?DDFDocuments/v/G/TBTN24/UGA1977.DOCX", "https://docs.wto.org/imrd/directdoc.asp?DDFDocuments/v/G/TBTN24/UGA1977.DOCX")</f>
      </c>
    </row>
    <row r="590">
      <c r="A590" s="6" t="s">
        <v>2275</v>
      </c>
      <c r="B590" s="7">
        <v>45516</v>
      </c>
      <c r="C590" s="6">
        <f>HYPERLINK("https://eping.wto.org/en/Search?viewData= G/TBT/N/MAC/27"," G/TBT/N/MAC/27")</f>
      </c>
      <c r="D590" s="8" t="s">
        <v>2372</v>
      </c>
      <c r="E590" s="8" t="s">
        <v>2373</v>
      </c>
      <c r="F590" s="8" t="s">
        <v>2374</v>
      </c>
      <c r="G590" s="6" t="s">
        <v>2375</v>
      </c>
      <c r="H590" s="6" t="s">
        <v>40</v>
      </c>
      <c r="I590" s="6" t="s">
        <v>213</v>
      </c>
      <c r="J590" s="6" t="s">
        <v>40</v>
      </c>
      <c r="K590" s="6"/>
      <c r="L590" s="7" t="s">
        <v>40</v>
      </c>
      <c r="M590" s="6" t="s">
        <v>25</v>
      </c>
      <c r="N590" s="6"/>
      <c r="O590" s="6">
        <f>HYPERLINK("https://docs.wto.org/imrd/directdoc.asp?DDFDocuments/t/G/TBTN24/MAC27.DOCX", "https://docs.wto.org/imrd/directdoc.asp?DDFDocuments/t/G/TBTN24/MAC27.DOCX")</f>
      </c>
      <c r="P590" s="6">
        <f>HYPERLINK("https://docs.wto.org/imrd/directdoc.asp?DDFDocuments/u/G/TBTN24/MAC27.DOCX", "https://docs.wto.org/imrd/directdoc.asp?DDFDocuments/u/G/TBTN24/MAC27.DOCX")</f>
      </c>
      <c r="Q590" s="6">
        <f>HYPERLINK("https://docs.wto.org/imrd/directdoc.asp?DDFDocuments/v/G/TBTN24/MAC27.DOCX", "https://docs.wto.org/imrd/directdoc.asp?DDFDocuments/v/G/TBTN24/MAC27.DOCX")</f>
      </c>
    </row>
    <row r="591">
      <c r="A591" s="6" t="s">
        <v>2030</v>
      </c>
      <c r="B591" s="7">
        <v>45516</v>
      </c>
      <c r="C591" s="6">
        <f>HYPERLINK("https://eping.wto.org/en/Search?viewData= G/SPS/N/UGA/359"," G/SPS/N/UGA/359")</f>
      </c>
      <c r="D591" s="8" t="s">
        <v>2376</v>
      </c>
      <c r="E591" s="8" t="s">
        <v>2377</v>
      </c>
      <c r="F591" s="8" t="s">
        <v>2054</v>
      </c>
      <c r="G591" s="6" t="s">
        <v>2055</v>
      </c>
      <c r="H591" s="6" t="s">
        <v>22</v>
      </c>
      <c r="I591" s="6" t="s">
        <v>38</v>
      </c>
      <c r="J591" s="6" t="s">
        <v>60</v>
      </c>
      <c r="K591" s="6"/>
      <c r="L591" s="7">
        <v>45576</v>
      </c>
      <c r="M591" s="6" t="s">
        <v>25</v>
      </c>
      <c r="N591" s="8" t="s">
        <v>2378</v>
      </c>
      <c r="O591" s="6">
        <f>HYPERLINK("https://docs.wto.org/imrd/directdoc.asp?DDFDocuments/t/G/SPS/NUGA359.DOCX", "https://docs.wto.org/imrd/directdoc.asp?DDFDocuments/t/G/SPS/NUGA359.DOCX")</f>
      </c>
      <c r="P591" s="6">
        <f>HYPERLINK("https://docs.wto.org/imrd/directdoc.asp?DDFDocuments/u/G/SPS/NUGA359.DOCX", "https://docs.wto.org/imrd/directdoc.asp?DDFDocuments/u/G/SPS/NUGA359.DOCX")</f>
      </c>
      <c r="Q591" s="6">
        <f>HYPERLINK("https://docs.wto.org/imrd/directdoc.asp?DDFDocuments/v/G/SPS/NUGA359.DOCX", "https://docs.wto.org/imrd/directdoc.asp?DDFDocuments/v/G/SPS/NUGA359.DOCX")</f>
      </c>
    </row>
    <row r="592">
      <c r="A592" s="6" t="s">
        <v>2030</v>
      </c>
      <c r="B592" s="7">
        <v>45516</v>
      </c>
      <c r="C592" s="6">
        <f>HYPERLINK("https://eping.wto.org/en/Search?viewData= G/SPS/N/UGA/364"," G/SPS/N/UGA/364")</f>
      </c>
      <c r="D592" s="8" t="s">
        <v>2140</v>
      </c>
      <c r="E592" s="8" t="s">
        <v>2379</v>
      </c>
      <c r="F592" s="8" t="s">
        <v>2380</v>
      </c>
      <c r="G592" s="6" t="s">
        <v>2143</v>
      </c>
      <c r="H592" s="6" t="s">
        <v>1972</v>
      </c>
      <c r="I592" s="6" t="s">
        <v>38</v>
      </c>
      <c r="J592" s="6" t="s">
        <v>60</v>
      </c>
      <c r="K592" s="6"/>
      <c r="L592" s="7">
        <v>45576</v>
      </c>
      <c r="M592" s="6" t="s">
        <v>25</v>
      </c>
      <c r="N592" s="8" t="s">
        <v>2381</v>
      </c>
      <c r="O592" s="6">
        <f>HYPERLINK("https://docs.wto.org/imrd/directdoc.asp?DDFDocuments/t/G/SPS/NUGA364.DOCX", "https://docs.wto.org/imrd/directdoc.asp?DDFDocuments/t/G/SPS/NUGA364.DOCX")</f>
      </c>
      <c r="P592" s="6">
        <f>HYPERLINK("https://docs.wto.org/imrd/directdoc.asp?DDFDocuments/u/G/SPS/NUGA364.DOCX", "https://docs.wto.org/imrd/directdoc.asp?DDFDocuments/u/G/SPS/NUGA364.DOCX")</f>
      </c>
      <c r="Q592" s="6">
        <f>HYPERLINK("https://docs.wto.org/imrd/directdoc.asp?DDFDocuments/v/G/SPS/NUGA364.DOCX", "https://docs.wto.org/imrd/directdoc.asp?DDFDocuments/v/G/SPS/NUGA364.DOCX")</f>
      </c>
    </row>
    <row r="593">
      <c r="A593" s="6" t="s">
        <v>2030</v>
      </c>
      <c r="B593" s="7">
        <v>45516</v>
      </c>
      <c r="C593" s="6">
        <f>HYPERLINK("https://eping.wto.org/en/Search?viewData= G/TBT/N/UGA/1973"," G/TBT/N/UGA/1973")</f>
      </c>
      <c r="D593" s="8" t="s">
        <v>2382</v>
      </c>
      <c r="E593" s="8" t="s">
        <v>2383</v>
      </c>
      <c r="F593" s="8" t="s">
        <v>2384</v>
      </c>
      <c r="G593" s="6" t="s">
        <v>2385</v>
      </c>
      <c r="H593" s="6" t="s">
        <v>1972</v>
      </c>
      <c r="I593" s="6" t="s">
        <v>81</v>
      </c>
      <c r="J593" s="6" t="s">
        <v>24</v>
      </c>
      <c r="K593" s="6"/>
      <c r="L593" s="7">
        <v>45576</v>
      </c>
      <c r="M593" s="6" t="s">
        <v>25</v>
      </c>
      <c r="N593" s="8" t="s">
        <v>2386</v>
      </c>
      <c r="O593" s="6">
        <f>HYPERLINK("https://docs.wto.org/imrd/directdoc.asp?DDFDocuments/t/G/TBTN24/UGA1973.DOCX", "https://docs.wto.org/imrd/directdoc.asp?DDFDocuments/t/G/TBTN24/UGA1973.DOCX")</f>
      </c>
      <c r="P593" s="6">
        <f>HYPERLINK("https://docs.wto.org/imrd/directdoc.asp?DDFDocuments/u/G/TBTN24/UGA1973.DOCX", "https://docs.wto.org/imrd/directdoc.asp?DDFDocuments/u/G/TBTN24/UGA1973.DOCX")</f>
      </c>
      <c r="Q593" s="6">
        <f>HYPERLINK("https://docs.wto.org/imrd/directdoc.asp?DDFDocuments/v/G/TBTN24/UGA1973.DOCX", "https://docs.wto.org/imrd/directdoc.asp?DDFDocuments/v/G/TBTN24/UGA1973.DOCX")</f>
      </c>
    </row>
    <row r="594">
      <c r="A594" s="6" t="s">
        <v>2024</v>
      </c>
      <c r="B594" s="7">
        <v>45513</v>
      </c>
      <c r="C594" s="6">
        <f>HYPERLINK("https://eping.wto.org/en/Search?viewData= G/TBT/N/BDI/381/Add.1, G/TBT/N/KEN/1461/Add.1, G/TBT/N/RWA/893/Add.1, G/TBT/N/TZA/995/Add.1, G/TBT/N/UGA/1798/Add.1"," G/TBT/N/BDI/381/Add.1, G/TBT/N/KEN/1461/Add.1, G/TBT/N/RWA/893/Add.1, G/TBT/N/TZA/995/Add.1, G/TBT/N/UGA/1798/Add.1")</f>
      </c>
      <c r="D594" s="8" t="s">
        <v>2387</v>
      </c>
      <c r="E594" s="8" t="s">
        <v>2388</v>
      </c>
      <c r="F594" s="8" t="s">
        <v>2389</v>
      </c>
      <c r="G594" s="6" t="s">
        <v>2390</v>
      </c>
      <c r="H594" s="6" t="s">
        <v>2391</v>
      </c>
      <c r="I594" s="6" t="s">
        <v>2392</v>
      </c>
      <c r="J594" s="6" t="s">
        <v>40</v>
      </c>
      <c r="K594" s="6"/>
      <c r="L594" s="7" t="s">
        <v>40</v>
      </c>
      <c r="M594" s="6" t="s">
        <v>76</v>
      </c>
      <c r="N594" s="6"/>
      <c r="O594" s="6">
        <f>HYPERLINK("https://docs.wto.org/imrd/directdoc.asp?DDFDocuments/t/G/TBTN23/BDI381A1.DOCX", "https://docs.wto.org/imrd/directdoc.asp?DDFDocuments/t/G/TBTN23/BDI381A1.DOCX")</f>
      </c>
      <c r="P594" s="6">
        <f>HYPERLINK("https://docs.wto.org/imrd/directdoc.asp?DDFDocuments/u/G/TBTN23/BDI381A1.DOCX", "https://docs.wto.org/imrd/directdoc.asp?DDFDocuments/u/G/TBTN23/BDI381A1.DOCX")</f>
      </c>
      <c r="Q594" s="6">
        <f>HYPERLINK("https://docs.wto.org/imrd/directdoc.asp?DDFDocuments/v/G/TBTN23/BDI381A1.DOCX", "https://docs.wto.org/imrd/directdoc.asp?DDFDocuments/v/G/TBTN23/BDI381A1.DOCX")</f>
      </c>
    </row>
    <row r="595">
      <c r="A595" s="6" t="s">
        <v>17</v>
      </c>
      <c r="B595" s="7">
        <v>45513</v>
      </c>
      <c r="C595" s="6">
        <f>HYPERLINK("https://eping.wto.org/en/Search?viewData= G/TBT/N/BDI/381/Add.1, G/TBT/N/KEN/1461/Add.1, G/TBT/N/RWA/893/Add.1, G/TBT/N/TZA/995/Add.1, G/TBT/N/UGA/1798/Add.1"," G/TBT/N/BDI/381/Add.1, G/TBT/N/KEN/1461/Add.1, G/TBT/N/RWA/893/Add.1, G/TBT/N/TZA/995/Add.1, G/TBT/N/UGA/1798/Add.1")</f>
      </c>
      <c r="D595" s="8" t="s">
        <v>2387</v>
      </c>
      <c r="E595" s="8" t="s">
        <v>2388</v>
      </c>
      <c r="F595" s="8" t="s">
        <v>2389</v>
      </c>
      <c r="G595" s="6" t="s">
        <v>2390</v>
      </c>
      <c r="H595" s="6" t="s">
        <v>2391</v>
      </c>
      <c r="I595" s="6" t="s">
        <v>2392</v>
      </c>
      <c r="J595" s="6" t="s">
        <v>40</v>
      </c>
      <c r="K595" s="6"/>
      <c r="L595" s="7" t="s">
        <v>40</v>
      </c>
      <c r="M595" s="6" t="s">
        <v>76</v>
      </c>
      <c r="N595" s="6"/>
      <c r="O595" s="6">
        <f>HYPERLINK("https://docs.wto.org/imrd/directdoc.asp?DDFDocuments/t/G/TBTN23/BDI381A1.DOCX", "https://docs.wto.org/imrd/directdoc.asp?DDFDocuments/t/G/TBTN23/BDI381A1.DOCX")</f>
      </c>
      <c r="P595" s="6">
        <f>HYPERLINK("https://docs.wto.org/imrd/directdoc.asp?DDFDocuments/u/G/TBTN23/BDI381A1.DOCX", "https://docs.wto.org/imrd/directdoc.asp?DDFDocuments/u/G/TBTN23/BDI381A1.DOCX")</f>
      </c>
      <c r="Q595" s="6">
        <f>HYPERLINK("https://docs.wto.org/imrd/directdoc.asp?DDFDocuments/v/G/TBTN23/BDI381A1.DOCX", "https://docs.wto.org/imrd/directdoc.asp?DDFDocuments/v/G/TBTN23/BDI381A1.DOCX")</f>
      </c>
    </row>
    <row r="596">
      <c r="A596" s="6" t="s">
        <v>2024</v>
      </c>
      <c r="B596" s="7">
        <v>45513</v>
      </c>
      <c r="C596" s="6">
        <f>HYPERLINK("https://eping.wto.org/en/Search?viewData= G/TBT/N/BDI/353/Add.1, G/TBT/N/KEN/1425/Add.1, G/TBT/N/RWA/861/Add.1, G/TBT/N/TZA/967/Add.1, G/TBT/N/UGA/1769/Add.1"," G/TBT/N/BDI/353/Add.1, G/TBT/N/KEN/1425/Add.1, G/TBT/N/RWA/861/Add.1, G/TBT/N/TZA/967/Add.1, G/TBT/N/UGA/1769/Add.1")</f>
      </c>
      <c r="D596" s="8" t="s">
        <v>2393</v>
      </c>
      <c r="E596" s="8" t="s">
        <v>2394</v>
      </c>
      <c r="F596" s="8" t="s">
        <v>2395</v>
      </c>
      <c r="G596" s="6" t="s">
        <v>2396</v>
      </c>
      <c r="H596" s="6" t="s">
        <v>2397</v>
      </c>
      <c r="I596" s="6" t="s">
        <v>2392</v>
      </c>
      <c r="J596" s="6" t="s">
        <v>40</v>
      </c>
      <c r="K596" s="6"/>
      <c r="L596" s="7" t="s">
        <v>40</v>
      </c>
      <c r="M596" s="6" t="s">
        <v>76</v>
      </c>
      <c r="N596" s="6"/>
      <c r="O596" s="6">
        <f>HYPERLINK("https://docs.wto.org/imrd/directdoc.asp?DDFDocuments/t/G/TBTN23/BDI353A1.DOCX", "https://docs.wto.org/imrd/directdoc.asp?DDFDocuments/t/G/TBTN23/BDI353A1.DOCX")</f>
      </c>
      <c r="P596" s="6">
        <f>HYPERLINK("https://docs.wto.org/imrd/directdoc.asp?DDFDocuments/u/G/TBTN23/BDI353A1.DOCX", "https://docs.wto.org/imrd/directdoc.asp?DDFDocuments/u/G/TBTN23/BDI353A1.DOCX")</f>
      </c>
      <c r="Q596" s="6">
        <f>HYPERLINK("https://docs.wto.org/imrd/directdoc.asp?DDFDocuments/v/G/TBTN23/BDI353A1.DOCX", "https://docs.wto.org/imrd/directdoc.asp?DDFDocuments/v/G/TBTN23/BDI353A1.DOCX")</f>
      </c>
    </row>
    <row r="597">
      <c r="A597" s="6" t="s">
        <v>17</v>
      </c>
      <c r="B597" s="7">
        <v>45513</v>
      </c>
      <c r="C597" s="6">
        <f>HYPERLINK("https://eping.wto.org/en/Search?viewData= G/TBT/N/BDI/292/Add.1, G/TBT/N/KEN/1327/Add.1, G/TBT/N/RWA/729/Add.1, G/TBT/N/TZA/850/Add.1, G/TBT/N/UGA/1701/Add.1"," G/TBT/N/BDI/292/Add.1, G/TBT/N/KEN/1327/Add.1, G/TBT/N/RWA/729/Add.1, G/TBT/N/TZA/850/Add.1, G/TBT/N/UGA/1701/Add.1")</f>
      </c>
      <c r="D597" s="8" t="s">
        <v>2398</v>
      </c>
      <c r="E597" s="8" t="s">
        <v>2399</v>
      </c>
      <c r="F597" s="8" t="s">
        <v>2400</v>
      </c>
      <c r="G597" s="6" t="s">
        <v>2401</v>
      </c>
      <c r="H597" s="6" t="s">
        <v>2402</v>
      </c>
      <c r="I597" s="6" t="s">
        <v>2121</v>
      </c>
      <c r="J597" s="6" t="s">
        <v>122</v>
      </c>
      <c r="K597" s="6"/>
      <c r="L597" s="7" t="s">
        <v>40</v>
      </c>
      <c r="M597" s="6" t="s">
        <v>76</v>
      </c>
      <c r="N597" s="6"/>
      <c r="O597" s="6">
        <f>HYPERLINK("https://docs.wto.org/imrd/directdoc.asp?DDFDocuments/t/G/TBTN22/BDI292A1.DOCX", "https://docs.wto.org/imrd/directdoc.asp?DDFDocuments/t/G/TBTN22/BDI292A1.DOCX")</f>
      </c>
      <c r="P597" s="6">
        <f>HYPERLINK("https://docs.wto.org/imrd/directdoc.asp?DDFDocuments/u/G/TBTN22/BDI292A1.DOCX", "https://docs.wto.org/imrd/directdoc.asp?DDFDocuments/u/G/TBTN22/BDI292A1.DOCX")</f>
      </c>
      <c r="Q597" s="6">
        <f>HYPERLINK("https://docs.wto.org/imrd/directdoc.asp?DDFDocuments/v/G/TBTN22/BDI292A1.DOCX", "https://docs.wto.org/imrd/directdoc.asp?DDFDocuments/v/G/TBTN22/BDI292A1.DOCX")</f>
      </c>
    </row>
    <row r="598">
      <c r="A598" s="6" t="s">
        <v>2030</v>
      </c>
      <c r="B598" s="7">
        <v>45513</v>
      </c>
      <c r="C598" s="6">
        <f>HYPERLINK("https://eping.wto.org/en/Search?viewData= G/TBT/N/UGA/1967"," G/TBT/N/UGA/1967")</f>
      </c>
      <c r="D598" s="8" t="s">
        <v>2403</v>
      </c>
      <c r="E598" s="8" t="s">
        <v>2404</v>
      </c>
      <c r="F598" s="8" t="s">
        <v>2405</v>
      </c>
      <c r="G598" s="6" t="s">
        <v>1730</v>
      </c>
      <c r="H598" s="6" t="s">
        <v>1972</v>
      </c>
      <c r="I598" s="6" t="s">
        <v>81</v>
      </c>
      <c r="J598" s="6" t="s">
        <v>24</v>
      </c>
      <c r="K598" s="6"/>
      <c r="L598" s="7">
        <v>45573</v>
      </c>
      <c r="M598" s="6" t="s">
        <v>25</v>
      </c>
      <c r="N598" s="8" t="s">
        <v>2406</v>
      </c>
      <c r="O598" s="6">
        <f>HYPERLINK("https://docs.wto.org/imrd/directdoc.asp?DDFDocuments/t/G/TBTN24/UGA1967.DOCX", "https://docs.wto.org/imrd/directdoc.asp?DDFDocuments/t/G/TBTN24/UGA1967.DOCX")</f>
      </c>
      <c r="P598" s="6">
        <f>HYPERLINK("https://docs.wto.org/imrd/directdoc.asp?DDFDocuments/u/G/TBTN24/UGA1967.DOCX", "https://docs.wto.org/imrd/directdoc.asp?DDFDocuments/u/G/TBTN24/UGA1967.DOCX")</f>
      </c>
      <c r="Q598" s="6">
        <f>HYPERLINK("https://docs.wto.org/imrd/directdoc.asp?DDFDocuments/v/G/TBTN24/UGA1967.DOCX", "https://docs.wto.org/imrd/directdoc.asp?DDFDocuments/v/G/TBTN24/UGA1967.DOCX")</f>
      </c>
    </row>
    <row r="599">
      <c r="A599" s="6" t="s">
        <v>880</v>
      </c>
      <c r="B599" s="7">
        <v>45513</v>
      </c>
      <c r="C599" s="6">
        <f>HYPERLINK("https://eping.wto.org/en/Search?viewData= G/TBT/N/BDI/292/Add.1, G/TBT/N/KEN/1327/Add.1, G/TBT/N/RWA/729/Add.1, G/TBT/N/TZA/850/Add.1, G/TBT/N/UGA/1701/Add.1"," G/TBT/N/BDI/292/Add.1, G/TBT/N/KEN/1327/Add.1, G/TBT/N/RWA/729/Add.1, G/TBT/N/TZA/850/Add.1, G/TBT/N/UGA/1701/Add.1")</f>
      </c>
      <c r="D599" s="8" t="s">
        <v>2398</v>
      </c>
      <c r="E599" s="8" t="s">
        <v>2399</v>
      </c>
      <c r="F599" s="8" t="s">
        <v>2400</v>
      </c>
      <c r="G599" s="6" t="s">
        <v>2401</v>
      </c>
      <c r="H599" s="6" t="s">
        <v>2402</v>
      </c>
      <c r="I599" s="6" t="s">
        <v>2121</v>
      </c>
      <c r="J599" s="6" t="s">
        <v>122</v>
      </c>
      <c r="K599" s="6"/>
      <c r="L599" s="7" t="s">
        <v>40</v>
      </c>
      <c r="M599" s="6" t="s">
        <v>76</v>
      </c>
      <c r="N599" s="6"/>
      <c r="O599" s="6">
        <f>HYPERLINK("https://docs.wto.org/imrd/directdoc.asp?DDFDocuments/t/G/TBTN22/BDI292A1.DOCX", "https://docs.wto.org/imrd/directdoc.asp?DDFDocuments/t/G/TBTN22/BDI292A1.DOCX")</f>
      </c>
      <c r="P599" s="6">
        <f>HYPERLINK("https://docs.wto.org/imrd/directdoc.asp?DDFDocuments/u/G/TBTN22/BDI292A1.DOCX", "https://docs.wto.org/imrd/directdoc.asp?DDFDocuments/u/G/TBTN22/BDI292A1.DOCX")</f>
      </c>
      <c r="Q599" s="6">
        <f>HYPERLINK("https://docs.wto.org/imrd/directdoc.asp?DDFDocuments/v/G/TBTN22/BDI292A1.DOCX", "https://docs.wto.org/imrd/directdoc.asp?DDFDocuments/v/G/TBTN22/BDI292A1.DOCX")</f>
      </c>
    </row>
    <row r="600">
      <c r="A600" s="6" t="s">
        <v>198</v>
      </c>
      <c r="B600" s="7">
        <v>45513</v>
      </c>
      <c r="C600" s="6">
        <f>HYPERLINK("https://eping.wto.org/en/Search?viewData= G/SPS/N/CHL/730/Add.2"," G/SPS/N/CHL/730/Add.2")</f>
      </c>
      <c r="D600" s="8" t="s">
        <v>2407</v>
      </c>
      <c r="E600" s="8" t="s">
        <v>2407</v>
      </c>
      <c r="F600" s="8" t="s">
        <v>2408</v>
      </c>
      <c r="G600" s="6" t="s">
        <v>40</v>
      </c>
      <c r="H600" s="6" t="s">
        <v>40</v>
      </c>
      <c r="I600" s="6" t="s">
        <v>38</v>
      </c>
      <c r="J600" s="6" t="s">
        <v>2409</v>
      </c>
      <c r="K600" s="6"/>
      <c r="L600" s="7" t="s">
        <v>40</v>
      </c>
      <c r="M600" s="6" t="s">
        <v>76</v>
      </c>
      <c r="N600" s="8" t="s">
        <v>2410</v>
      </c>
      <c r="O600" s="6">
        <f>HYPERLINK("https://docs.wto.org/imrd/directdoc.asp?DDFDocuments/t/G/SPS/NCHL730A2.DOCX", "https://docs.wto.org/imrd/directdoc.asp?DDFDocuments/t/G/SPS/NCHL730A2.DOCX")</f>
      </c>
      <c r="P600" s="6">
        <f>HYPERLINK("https://docs.wto.org/imrd/directdoc.asp?DDFDocuments/u/G/SPS/NCHL730A2.DOCX", "https://docs.wto.org/imrd/directdoc.asp?DDFDocuments/u/G/SPS/NCHL730A2.DOCX")</f>
      </c>
      <c r="Q600" s="6">
        <f>HYPERLINK("https://docs.wto.org/imrd/directdoc.asp?DDFDocuments/v/G/SPS/NCHL730A2.DOCX", "https://docs.wto.org/imrd/directdoc.asp?DDFDocuments/v/G/SPS/NCHL730A2.DOCX")</f>
      </c>
    </row>
    <row r="601">
      <c r="A601" s="6" t="s">
        <v>17</v>
      </c>
      <c r="B601" s="7">
        <v>45513</v>
      </c>
      <c r="C601" s="6">
        <f>HYPERLINK("https://eping.wto.org/en/Search?viewData= G/TBT/N/BDI/354/Add.1, G/TBT/N/KEN/1426/Add.1, G/TBT/N/RWA/862/Add.1, G/TBT/N/TZA/968/Add.1, G/TBT/N/UGA/1770/Add.1"," G/TBT/N/BDI/354/Add.1, G/TBT/N/KEN/1426/Add.1, G/TBT/N/RWA/862/Add.1, G/TBT/N/TZA/968/Add.1, G/TBT/N/UGA/1770/Add.1")</f>
      </c>
      <c r="D601" s="8" t="s">
        <v>2411</v>
      </c>
      <c r="E601" s="8" t="s">
        <v>2412</v>
      </c>
      <c r="F601" s="8" t="s">
        <v>2395</v>
      </c>
      <c r="G601" s="6" t="s">
        <v>2396</v>
      </c>
      <c r="H601" s="6" t="s">
        <v>2397</v>
      </c>
      <c r="I601" s="6" t="s">
        <v>2392</v>
      </c>
      <c r="J601" s="6" t="s">
        <v>40</v>
      </c>
      <c r="K601" s="6"/>
      <c r="L601" s="7" t="s">
        <v>40</v>
      </c>
      <c r="M601" s="6" t="s">
        <v>76</v>
      </c>
      <c r="N601" s="6"/>
      <c r="O601" s="6">
        <f>HYPERLINK("https://docs.wto.org/imrd/directdoc.asp?DDFDocuments/t/G/TBTN23/BDI354A1.DOCX", "https://docs.wto.org/imrd/directdoc.asp?DDFDocuments/t/G/TBTN23/BDI354A1.DOCX")</f>
      </c>
      <c r="P601" s="6">
        <f>HYPERLINK("https://docs.wto.org/imrd/directdoc.asp?DDFDocuments/u/G/TBTN23/BDI354A1.DOCX", "https://docs.wto.org/imrd/directdoc.asp?DDFDocuments/u/G/TBTN23/BDI354A1.DOCX")</f>
      </c>
      <c r="Q601" s="6">
        <f>HYPERLINK("https://docs.wto.org/imrd/directdoc.asp?DDFDocuments/v/G/TBTN23/BDI354A1.DOCX", "https://docs.wto.org/imrd/directdoc.asp?DDFDocuments/v/G/TBTN23/BDI354A1.DOCX")</f>
      </c>
    </row>
    <row r="602">
      <c r="A602" s="6" t="s">
        <v>2024</v>
      </c>
      <c r="B602" s="7">
        <v>45513</v>
      </c>
      <c r="C602" s="6">
        <f>HYPERLINK("https://eping.wto.org/en/Search?viewData= G/TBT/N/BDI/379/Add.1, G/TBT/N/KEN/1459/Add.1, G/TBT/N/RWA/891/Add.1, G/TBT/N/TZA/993/Add.1, G/TBT/N/UGA/1796/Add.1"," G/TBT/N/BDI/379/Add.1, G/TBT/N/KEN/1459/Add.1, G/TBT/N/RWA/891/Add.1, G/TBT/N/TZA/993/Add.1, G/TBT/N/UGA/1796/Add.1")</f>
      </c>
      <c r="D602" s="8" t="s">
        <v>2413</v>
      </c>
      <c r="E602" s="8" t="s">
        <v>2414</v>
      </c>
      <c r="F602" s="8" t="s">
        <v>2415</v>
      </c>
      <c r="G602" s="6" t="s">
        <v>2416</v>
      </c>
      <c r="H602" s="6" t="s">
        <v>2417</v>
      </c>
      <c r="I602" s="6" t="s">
        <v>2418</v>
      </c>
      <c r="J602" s="6" t="s">
        <v>40</v>
      </c>
      <c r="K602" s="6"/>
      <c r="L602" s="7" t="s">
        <v>40</v>
      </c>
      <c r="M602" s="6" t="s">
        <v>76</v>
      </c>
      <c r="N602" s="6"/>
      <c r="O602" s="6">
        <f>HYPERLINK("https://docs.wto.org/imrd/directdoc.asp?DDFDocuments/t/G/TBTN23/BDI379A1.DOCX", "https://docs.wto.org/imrd/directdoc.asp?DDFDocuments/t/G/TBTN23/BDI379A1.DOCX")</f>
      </c>
      <c r="P602" s="6">
        <f>HYPERLINK("https://docs.wto.org/imrd/directdoc.asp?DDFDocuments/u/G/TBTN23/BDI379A1.DOCX", "https://docs.wto.org/imrd/directdoc.asp?DDFDocuments/u/G/TBTN23/BDI379A1.DOCX")</f>
      </c>
      <c r="Q602" s="6">
        <f>HYPERLINK("https://docs.wto.org/imrd/directdoc.asp?DDFDocuments/v/G/TBTN23/BDI379A1.DOCX", "https://docs.wto.org/imrd/directdoc.asp?DDFDocuments/v/G/TBTN23/BDI379A1.DOCX")</f>
      </c>
    </row>
    <row r="603">
      <c r="A603" s="6" t="s">
        <v>17</v>
      </c>
      <c r="B603" s="7">
        <v>45513</v>
      </c>
      <c r="C603" s="6">
        <f>HYPERLINK("https://eping.wto.org/en/Search?viewData= G/TBT/N/BDI/353/Add.1, G/TBT/N/KEN/1425/Add.1, G/TBT/N/RWA/861/Add.1, G/TBT/N/TZA/967/Add.1, G/TBT/N/UGA/1769/Add.1"," G/TBT/N/BDI/353/Add.1, G/TBT/N/KEN/1425/Add.1, G/TBT/N/RWA/861/Add.1, G/TBT/N/TZA/967/Add.1, G/TBT/N/UGA/1769/Add.1")</f>
      </c>
      <c r="D603" s="8" t="s">
        <v>2393</v>
      </c>
      <c r="E603" s="8" t="s">
        <v>2394</v>
      </c>
      <c r="F603" s="8" t="s">
        <v>2395</v>
      </c>
      <c r="G603" s="6" t="s">
        <v>2396</v>
      </c>
      <c r="H603" s="6" t="s">
        <v>2397</v>
      </c>
      <c r="I603" s="6" t="s">
        <v>2392</v>
      </c>
      <c r="J603" s="6" t="s">
        <v>40</v>
      </c>
      <c r="K603" s="6"/>
      <c r="L603" s="7" t="s">
        <v>40</v>
      </c>
      <c r="M603" s="6" t="s">
        <v>76</v>
      </c>
      <c r="N603" s="6"/>
      <c r="O603" s="6">
        <f>HYPERLINK("https://docs.wto.org/imrd/directdoc.asp?DDFDocuments/t/G/TBTN23/BDI353A1.DOCX", "https://docs.wto.org/imrd/directdoc.asp?DDFDocuments/t/G/TBTN23/BDI353A1.DOCX")</f>
      </c>
      <c r="P603" s="6">
        <f>HYPERLINK("https://docs.wto.org/imrd/directdoc.asp?DDFDocuments/u/G/TBTN23/BDI353A1.DOCX", "https://docs.wto.org/imrd/directdoc.asp?DDFDocuments/u/G/TBTN23/BDI353A1.DOCX")</f>
      </c>
      <c r="Q603" s="6">
        <f>HYPERLINK("https://docs.wto.org/imrd/directdoc.asp?DDFDocuments/v/G/TBTN23/BDI353A1.DOCX", "https://docs.wto.org/imrd/directdoc.asp?DDFDocuments/v/G/TBTN23/BDI353A1.DOCX")</f>
      </c>
    </row>
    <row r="604">
      <c r="A604" s="6" t="s">
        <v>2024</v>
      </c>
      <c r="B604" s="7">
        <v>45513</v>
      </c>
      <c r="C604" s="6">
        <f>HYPERLINK("https://eping.wto.org/en/Search?viewData= G/TBT/N/BDI/293/Add.1, G/TBT/N/KEN/1328/Add.1, G/TBT/N/RWA/730/Add.1, G/TBT/N/TZA/851/Add.1, G/TBT/N/UGA/1702/Add.1"," G/TBT/N/BDI/293/Add.1, G/TBT/N/KEN/1328/Add.1, G/TBT/N/RWA/730/Add.1, G/TBT/N/TZA/851/Add.1, G/TBT/N/UGA/1702/Add.1")</f>
      </c>
      <c r="D604" s="8" t="s">
        <v>2419</v>
      </c>
      <c r="E604" s="8" t="s">
        <v>2420</v>
      </c>
      <c r="F604" s="8" t="s">
        <v>2421</v>
      </c>
      <c r="G604" s="6" t="s">
        <v>2422</v>
      </c>
      <c r="H604" s="6" t="s">
        <v>2402</v>
      </c>
      <c r="I604" s="6" t="s">
        <v>2121</v>
      </c>
      <c r="J604" s="6" t="s">
        <v>122</v>
      </c>
      <c r="K604" s="6"/>
      <c r="L604" s="7" t="s">
        <v>40</v>
      </c>
      <c r="M604" s="6" t="s">
        <v>76</v>
      </c>
      <c r="N604" s="6"/>
      <c r="O604" s="6">
        <f>HYPERLINK("https://docs.wto.org/imrd/directdoc.asp?DDFDocuments/t/G/TBTN22/BDI293A1.DOCX", "https://docs.wto.org/imrd/directdoc.asp?DDFDocuments/t/G/TBTN22/BDI293A1.DOCX")</f>
      </c>
      <c r="P604" s="6">
        <f>HYPERLINK("https://docs.wto.org/imrd/directdoc.asp?DDFDocuments/u/G/TBTN22/BDI293A1.DOCX", "https://docs.wto.org/imrd/directdoc.asp?DDFDocuments/u/G/TBTN22/BDI293A1.DOCX")</f>
      </c>
      <c r="Q604" s="6">
        <f>HYPERLINK("https://docs.wto.org/imrd/directdoc.asp?DDFDocuments/v/G/TBTN22/BDI293A1.DOCX", "https://docs.wto.org/imrd/directdoc.asp?DDFDocuments/v/G/TBTN22/BDI293A1.DOCX")</f>
      </c>
    </row>
    <row r="605">
      <c r="A605" s="6" t="s">
        <v>2030</v>
      </c>
      <c r="B605" s="7">
        <v>45513</v>
      </c>
      <c r="C605" s="6">
        <f>HYPERLINK("https://eping.wto.org/en/Search?viewData= G/TBT/N/BDI/293/Add.1, G/TBT/N/KEN/1328/Add.1, G/TBT/N/RWA/730/Add.1, G/TBT/N/TZA/851/Add.1, G/TBT/N/UGA/1702/Add.1"," G/TBT/N/BDI/293/Add.1, G/TBT/N/KEN/1328/Add.1, G/TBT/N/RWA/730/Add.1, G/TBT/N/TZA/851/Add.1, G/TBT/N/UGA/1702/Add.1")</f>
      </c>
      <c r="D605" s="8" t="s">
        <v>2419</v>
      </c>
      <c r="E605" s="8" t="s">
        <v>2420</v>
      </c>
      <c r="F605" s="8" t="s">
        <v>2421</v>
      </c>
      <c r="G605" s="6" t="s">
        <v>2422</v>
      </c>
      <c r="H605" s="6" t="s">
        <v>2402</v>
      </c>
      <c r="I605" s="6" t="s">
        <v>2121</v>
      </c>
      <c r="J605" s="6" t="s">
        <v>122</v>
      </c>
      <c r="K605" s="6"/>
      <c r="L605" s="7" t="s">
        <v>40</v>
      </c>
      <c r="M605" s="6" t="s">
        <v>76</v>
      </c>
      <c r="N605" s="6"/>
      <c r="O605" s="6">
        <f>HYPERLINK("https://docs.wto.org/imrd/directdoc.asp?DDFDocuments/t/G/TBTN22/BDI293A1.DOCX", "https://docs.wto.org/imrd/directdoc.asp?DDFDocuments/t/G/TBTN22/BDI293A1.DOCX")</f>
      </c>
      <c r="P605" s="6">
        <f>HYPERLINK("https://docs.wto.org/imrd/directdoc.asp?DDFDocuments/u/G/TBTN22/BDI293A1.DOCX", "https://docs.wto.org/imrd/directdoc.asp?DDFDocuments/u/G/TBTN22/BDI293A1.DOCX")</f>
      </c>
      <c r="Q605" s="6">
        <f>HYPERLINK("https://docs.wto.org/imrd/directdoc.asp?DDFDocuments/v/G/TBTN22/BDI293A1.DOCX", "https://docs.wto.org/imrd/directdoc.asp?DDFDocuments/v/G/TBTN22/BDI293A1.DOCX")</f>
      </c>
    </row>
    <row r="606">
      <c r="A606" s="6" t="s">
        <v>115</v>
      </c>
      <c r="B606" s="7">
        <v>45513</v>
      </c>
      <c r="C606" s="6">
        <f>HYPERLINK("https://eping.wto.org/en/Search?viewData= G/SPS/N/BRA/2319"," G/SPS/N/BRA/2319")</f>
      </c>
      <c r="D606" s="8" t="s">
        <v>2423</v>
      </c>
      <c r="E606" s="8" t="s">
        <v>2424</v>
      </c>
      <c r="F606" s="8" t="s">
        <v>2425</v>
      </c>
      <c r="G606" s="6" t="s">
        <v>40</v>
      </c>
      <c r="H606" s="6" t="s">
        <v>40</v>
      </c>
      <c r="I606" s="6" t="s">
        <v>2426</v>
      </c>
      <c r="J606" s="6" t="s">
        <v>2427</v>
      </c>
      <c r="K606" s="6"/>
      <c r="L606" s="7" t="s">
        <v>40</v>
      </c>
      <c r="M606" s="6" t="s">
        <v>25</v>
      </c>
      <c r="N606" s="8" t="s">
        <v>2428</v>
      </c>
      <c r="O606" s="6">
        <f>HYPERLINK("https://docs.wto.org/imrd/directdoc.asp?DDFDocuments/t/G/SPS/NBRA2319.DOCX", "https://docs.wto.org/imrd/directdoc.asp?DDFDocuments/t/G/SPS/NBRA2319.DOCX")</f>
      </c>
      <c r="P606" s="6">
        <f>HYPERLINK("https://docs.wto.org/imrd/directdoc.asp?DDFDocuments/u/G/SPS/NBRA2319.DOCX", "https://docs.wto.org/imrd/directdoc.asp?DDFDocuments/u/G/SPS/NBRA2319.DOCX")</f>
      </c>
      <c r="Q606" s="6">
        <f>HYPERLINK("https://docs.wto.org/imrd/directdoc.asp?DDFDocuments/v/G/SPS/NBRA2319.DOCX", "https://docs.wto.org/imrd/directdoc.asp?DDFDocuments/v/G/SPS/NBRA2319.DOCX")</f>
      </c>
    </row>
    <row r="607">
      <c r="A607" s="6" t="s">
        <v>160</v>
      </c>
      <c r="B607" s="7">
        <v>45513</v>
      </c>
      <c r="C607" s="6">
        <f>HYPERLINK("https://eping.wto.org/en/Search?viewData= G/TBT/N/USA/2136"," G/TBT/N/USA/2136")</f>
      </c>
      <c r="D607" s="8" t="s">
        <v>2429</v>
      </c>
      <c r="E607" s="8" t="s">
        <v>2430</v>
      </c>
      <c r="F607" s="8" t="s">
        <v>2431</v>
      </c>
      <c r="G607" s="6" t="s">
        <v>40</v>
      </c>
      <c r="H607" s="6" t="s">
        <v>2432</v>
      </c>
      <c r="I607" s="6" t="s">
        <v>134</v>
      </c>
      <c r="J607" s="6" t="s">
        <v>40</v>
      </c>
      <c r="K607" s="6"/>
      <c r="L607" s="7" t="s">
        <v>40</v>
      </c>
      <c r="M607" s="6" t="s">
        <v>25</v>
      </c>
      <c r="N607" s="8" t="s">
        <v>2433</v>
      </c>
      <c r="O607" s="6">
        <f>HYPERLINK("https://docs.wto.org/imrd/directdoc.asp?DDFDocuments/t/G/TBTN24/USA2136.DOCX", "https://docs.wto.org/imrd/directdoc.asp?DDFDocuments/t/G/TBTN24/USA2136.DOCX")</f>
      </c>
      <c r="P607" s="6">
        <f>HYPERLINK("https://docs.wto.org/imrd/directdoc.asp?DDFDocuments/u/G/TBTN24/USA2136.DOCX", "https://docs.wto.org/imrd/directdoc.asp?DDFDocuments/u/G/TBTN24/USA2136.DOCX")</f>
      </c>
      <c r="Q607" s="6">
        <f>HYPERLINK("https://docs.wto.org/imrd/directdoc.asp?DDFDocuments/v/G/TBTN24/USA2136.DOCX", "https://docs.wto.org/imrd/directdoc.asp?DDFDocuments/v/G/TBTN24/USA2136.DOCX")</f>
      </c>
    </row>
    <row r="608">
      <c r="A608" s="6" t="s">
        <v>2030</v>
      </c>
      <c r="B608" s="7">
        <v>45513</v>
      </c>
      <c r="C608" s="6">
        <f>HYPERLINK("https://eping.wto.org/en/Search?viewData= G/SPS/N/UGA/342"," G/SPS/N/UGA/342")</f>
      </c>
      <c r="D608" s="8" t="s">
        <v>2434</v>
      </c>
      <c r="E608" s="8" t="s">
        <v>2435</v>
      </c>
      <c r="F608" s="8" t="s">
        <v>2436</v>
      </c>
      <c r="G608" s="6" t="s">
        <v>1730</v>
      </c>
      <c r="H608" s="6" t="s">
        <v>1972</v>
      </c>
      <c r="I608" s="6" t="s">
        <v>38</v>
      </c>
      <c r="J608" s="6" t="s">
        <v>60</v>
      </c>
      <c r="K608" s="6"/>
      <c r="L608" s="7">
        <v>45573</v>
      </c>
      <c r="M608" s="6" t="s">
        <v>25</v>
      </c>
      <c r="N608" s="8" t="s">
        <v>2437</v>
      </c>
      <c r="O608" s="6">
        <f>HYPERLINK("https://docs.wto.org/imrd/directdoc.asp?DDFDocuments/t/G/SPS/NUGA342.DOCX", "https://docs.wto.org/imrd/directdoc.asp?DDFDocuments/t/G/SPS/NUGA342.DOCX")</f>
      </c>
      <c r="P608" s="6">
        <f>HYPERLINK("https://docs.wto.org/imrd/directdoc.asp?DDFDocuments/u/G/SPS/NUGA342.DOCX", "https://docs.wto.org/imrd/directdoc.asp?DDFDocuments/u/G/SPS/NUGA342.DOCX")</f>
      </c>
      <c r="Q608" s="6">
        <f>HYPERLINK("https://docs.wto.org/imrd/directdoc.asp?DDFDocuments/v/G/SPS/NUGA342.DOCX", "https://docs.wto.org/imrd/directdoc.asp?DDFDocuments/v/G/SPS/NUGA342.DOCX")</f>
      </c>
    </row>
    <row r="609">
      <c r="A609" s="6" t="s">
        <v>880</v>
      </c>
      <c r="B609" s="7">
        <v>45513</v>
      </c>
      <c r="C609" s="6">
        <f>HYPERLINK("https://eping.wto.org/en/Search?viewData= G/TBT/N/BDI/291/Add.1, G/TBT/N/KEN/1326/Add.1, G/TBT/N/RWA/728/Add.1, G/TBT/N/TZA/849/Add.1, G/TBT/N/UGA/1700/Add.1"," G/TBT/N/BDI/291/Add.1, G/TBT/N/KEN/1326/Add.1, G/TBT/N/RWA/728/Add.1, G/TBT/N/TZA/849/Add.1, G/TBT/N/UGA/1700/Add.1")</f>
      </c>
      <c r="D609" s="8" t="s">
        <v>2438</v>
      </c>
      <c r="E609" s="8" t="s">
        <v>2439</v>
      </c>
      <c r="F609" s="8" t="s">
        <v>2440</v>
      </c>
      <c r="G609" s="6" t="s">
        <v>2441</v>
      </c>
      <c r="H609" s="6" t="s">
        <v>2402</v>
      </c>
      <c r="I609" s="6" t="s">
        <v>2121</v>
      </c>
      <c r="J609" s="6" t="s">
        <v>122</v>
      </c>
      <c r="K609" s="6"/>
      <c r="L609" s="7" t="s">
        <v>40</v>
      </c>
      <c r="M609" s="6" t="s">
        <v>76</v>
      </c>
      <c r="N609" s="6"/>
      <c r="O609" s="6">
        <f>HYPERLINK("https://docs.wto.org/imrd/directdoc.asp?DDFDocuments/t/G/TBTN22/BDI291A1.DOCX", "https://docs.wto.org/imrd/directdoc.asp?DDFDocuments/t/G/TBTN22/BDI291A1.DOCX")</f>
      </c>
      <c r="P609" s="6">
        <f>HYPERLINK("https://docs.wto.org/imrd/directdoc.asp?DDFDocuments/u/G/TBTN22/BDI291A1.DOCX", "https://docs.wto.org/imrd/directdoc.asp?DDFDocuments/u/G/TBTN22/BDI291A1.DOCX")</f>
      </c>
      <c r="Q609" s="6">
        <f>HYPERLINK("https://docs.wto.org/imrd/directdoc.asp?DDFDocuments/v/G/TBTN22/BDI291A1.DOCX", "https://docs.wto.org/imrd/directdoc.asp?DDFDocuments/v/G/TBTN22/BDI291A1.DOCX")</f>
      </c>
    </row>
    <row r="610">
      <c r="A610" s="6" t="s">
        <v>322</v>
      </c>
      <c r="B610" s="7">
        <v>45513</v>
      </c>
      <c r="C610" s="6">
        <f>HYPERLINK("https://eping.wto.org/en/Search?viewData= G/TBT/N/TPKM/545"," G/TBT/N/TPKM/545")</f>
      </c>
      <c r="D610" s="8" t="s">
        <v>2442</v>
      </c>
      <c r="E610" s="8" t="s">
        <v>2443</v>
      </c>
      <c r="F610" s="8" t="s">
        <v>2444</v>
      </c>
      <c r="G610" s="6" t="s">
        <v>40</v>
      </c>
      <c r="H610" s="6" t="s">
        <v>40</v>
      </c>
      <c r="I610" s="6" t="s">
        <v>165</v>
      </c>
      <c r="J610" s="6" t="s">
        <v>40</v>
      </c>
      <c r="K610" s="6"/>
      <c r="L610" s="7">
        <v>45573</v>
      </c>
      <c r="M610" s="6" t="s">
        <v>25</v>
      </c>
      <c r="N610" s="8" t="s">
        <v>2445</v>
      </c>
      <c r="O610" s="6">
        <f>HYPERLINK("https://docs.wto.org/imrd/directdoc.asp?DDFDocuments/t/G/TBTN24/TPKM545.DOCX", "https://docs.wto.org/imrd/directdoc.asp?DDFDocuments/t/G/TBTN24/TPKM545.DOCX")</f>
      </c>
      <c r="P610" s="6">
        <f>HYPERLINK("https://docs.wto.org/imrd/directdoc.asp?DDFDocuments/u/G/TBTN24/TPKM545.DOCX", "https://docs.wto.org/imrd/directdoc.asp?DDFDocuments/u/G/TBTN24/TPKM545.DOCX")</f>
      </c>
      <c r="Q610" s="6">
        <f>HYPERLINK("https://docs.wto.org/imrd/directdoc.asp?DDFDocuments/v/G/TBTN24/TPKM545.DOCX", "https://docs.wto.org/imrd/directdoc.asp?DDFDocuments/v/G/TBTN24/TPKM545.DOCX")</f>
      </c>
    </row>
    <row r="611">
      <c r="A611" s="6" t="s">
        <v>160</v>
      </c>
      <c r="B611" s="7">
        <v>45513</v>
      </c>
      <c r="C611" s="6">
        <f>HYPERLINK("https://eping.wto.org/en/Search?viewData= G/SPS/N/USA/3464"," G/SPS/N/USA/3464")</f>
      </c>
      <c r="D611" s="8" t="s">
        <v>1177</v>
      </c>
      <c r="E611" s="8" t="s">
        <v>2446</v>
      </c>
      <c r="F611" s="8" t="s">
        <v>951</v>
      </c>
      <c r="G611" s="6" t="s">
        <v>966</v>
      </c>
      <c r="H611" s="6" t="s">
        <v>2447</v>
      </c>
      <c r="I611" s="6" t="s">
        <v>38</v>
      </c>
      <c r="J611" s="6" t="s">
        <v>24</v>
      </c>
      <c r="K611" s="6" t="s">
        <v>40</v>
      </c>
      <c r="L611" s="7" t="s">
        <v>40</v>
      </c>
      <c r="M611" s="6" t="s">
        <v>25</v>
      </c>
      <c r="N611" s="8" t="s">
        <v>2448</v>
      </c>
      <c r="O611" s="6">
        <f>HYPERLINK("https://docs.wto.org/imrd/directdoc.asp?DDFDocuments/t/G/SPS/NUSA3464.DOCX", "https://docs.wto.org/imrd/directdoc.asp?DDFDocuments/t/G/SPS/NUSA3464.DOCX")</f>
      </c>
      <c r="P611" s="6">
        <f>HYPERLINK("https://docs.wto.org/imrd/directdoc.asp?DDFDocuments/u/G/SPS/NUSA3464.DOCX", "https://docs.wto.org/imrd/directdoc.asp?DDFDocuments/u/G/SPS/NUSA3464.DOCX")</f>
      </c>
      <c r="Q611" s="6">
        <f>HYPERLINK("https://docs.wto.org/imrd/directdoc.asp?DDFDocuments/v/G/SPS/NUSA3464.DOCX", "https://docs.wto.org/imrd/directdoc.asp?DDFDocuments/v/G/SPS/NUSA3464.DOCX")</f>
      </c>
    </row>
    <row r="612">
      <c r="A612" s="6" t="s">
        <v>2030</v>
      </c>
      <c r="B612" s="7">
        <v>45513</v>
      </c>
      <c r="C612" s="6">
        <f>HYPERLINK("https://eping.wto.org/en/Search?viewData= G/TBT/N/BDI/354/Add.1, G/TBT/N/KEN/1426/Add.1, G/TBT/N/RWA/862/Add.1, G/TBT/N/TZA/968/Add.1, G/TBT/N/UGA/1770/Add.1"," G/TBT/N/BDI/354/Add.1, G/TBT/N/KEN/1426/Add.1, G/TBT/N/RWA/862/Add.1, G/TBT/N/TZA/968/Add.1, G/TBT/N/UGA/1770/Add.1")</f>
      </c>
      <c r="D612" s="8" t="s">
        <v>2411</v>
      </c>
      <c r="E612" s="8" t="s">
        <v>2412</v>
      </c>
      <c r="F612" s="8" t="s">
        <v>2395</v>
      </c>
      <c r="G612" s="6" t="s">
        <v>2396</v>
      </c>
      <c r="H612" s="6" t="s">
        <v>2397</v>
      </c>
      <c r="I612" s="6" t="s">
        <v>2392</v>
      </c>
      <c r="J612" s="6" t="s">
        <v>40</v>
      </c>
      <c r="K612" s="6"/>
      <c r="L612" s="7" t="s">
        <v>40</v>
      </c>
      <c r="M612" s="6" t="s">
        <v>76</v>
      </c>
      <c r="N612" s="6"/>
      <c r="O612" s="6">
        <f>HYPERLINK("https://docs.wto.org/imrd/directdoc.asp?DDFDocuments/t/G/TBTN23/BDI354A1.DOCX", "https://docs.wto.org/imrd/directdoc.asp?DDFDocuments/t/G/TBTN23/BDI354A1.DOCX")</f>
      </c>
      <c r="P612" s="6">
        <f>HYPERLINK("https://docs.wto.org/imrd/directdoc.asp?DDFDocuments/u/G/TBTN23/BDI354A1.DOCX", "https://docs.wto.org/imrd/directdoc.asp?DDFDocuments/u/G/TBTN23/BDI354A1.DOCX")</f>
      </c>
      <c r="Q612" s="6">
        <f>HYPERLINK("https://docs.wto.org/imrd/directdoc.asp?DDFDocuments/v/G/TBTN23/BDI354A1.DOCX", "https://docs.wto.org/imrd/directdoc.asp?DDFDocuments/v/G/TBTN23/BDI354A1.DOCX")</f>
      </c>
    </row>
    <row r="613">
      <c r="A613" s="6" t="s">
        <v>2041</v>
      </c>
      <c r="B613" s="7">
        <v>45513</v>
      </c>
      <c r="C613" s="6">
        <f>HYPERLINK("https://eping.wto.org/en/Search?viewData= G/TBT/N/BDI/292/Add.1, G/TBT/N/KEN/1327/Add.1, G/TBT/N/RWA/729/Add.1, G/TBT/N/TZA/850/Add.1, G/TBT/N/UGA/1701/Add.1"," G/TBT/N/BDI/292/Add.1, G/TBT/N/KEN/1327/Add.1, G/TBT/N/RWA/729/Add.1, G/TBT/N/TZA/850/Add.1, G/TBT/N/UGA/1701/Add.1")</f>
      </c>
      <c r="D613" s="8" t="s">
        <v>2398</v>
      </c>
      <c r="E613" s="8" t="s">
        <v>2399</v>
      </c>
      <c r="F613" s="8" t="s">
        <v>2400</v>
      </c>
      <c r="G613" s="6" t="s">
        <v>2401</v>
      </c>
      <c r="H613" s="6" t="s">
        <v>2402</v>
      </c>
      <c r="I613" s="6" t="s">
        <v>2121</v>
      </c>
      <c r="J613" s="6" t="s">
        <v>122</v>
      </c>
      <c r="K613" s="6"/>
      <c r="L613" s="7" t="s">
        <v>40</v>
      </c>
      <c r="M613" s="6" t="s">
        <v>76</v>
      </c>
      <c r="N613" s="6"/>
      <c r="O613" s="6">
        <f>HYPERLINK("https://docs.wto.org/imrd/directdoc.asp?DDFDocuments/t/G/TBTN22/BDI292A1.DOCX", "https://docs.wto.org/imrd/directdoc.asp?DDFDocuments/t/G/TBTN22/BDI292A1.DOCX")</f>
      </c>
      <c r="P613" s="6">
        <f>HYPERLINK("https://docs.wto.org/imrd/directdoc.asp?DDFDocuments/u/G/TBTN22/BDI292A1.DOCX", "https://docs.wto.org/imrd/directdoc.asp?DDFDocuments/u/G/TBTN22/BDI292A1.DOCX")</f>
      </c>
      <c r="Q613" s="6">
        <f>HYPERLINK("https://docs.wto.org/imrd/directdoc.asp?DDFDocuments/v/G/TBTN22/BDI292A1.DOCX", "https://docs.wto.org/imrd/directdoc.asp?DDFDocuments/v/G/TBTN22/BDI292A1.DOCX")</f>
      </c>
    </row>
    <row r="614">
      <c r="A614" s="6" t="s">
        <v>198</v>
      </c>
      <c r="B614" s="7">
        <v>45513</v>
      </c>
      <c r="C614" s="6">
        <f>HYPERLINK("https://eping.wto.org/en/Search?viewData= G/SPS/N/CHL/788/Add.1"," G/SPS/N/CHL/788/Add.1")</f>
      </c>
      <c r="D614" s="8" t="s">
        <v>2449</v>
      </c>
      <c r="E614" s="8" t="s">
        <v>2449</v>
      </c>
      <c r="F614" s="8" t="s">
        <v>2450</v>
      </c>
      <c r="G614" s="6" t="s">
        <v>40</v>
      </c>
      <c r="H614" s="6" t="s">
        <v>40</v>
      </c>
      <c r="I614" s="6" t="s">
        <v>353</v>
      </c>
      <c r="J614" s="6" t="s">
        <v>2451</v>
      </c>
      <c r="K614" s="6"/>
      <c r="L614" s="7" t="s">
        <v>40</v>
      </c>
      <c r="M614" s="6" t="s">
        <v>76</v>
      </c>
      <c r="N614" s="8" t="s">
        <v>2452</v>
      </c>
      <c r="O614" s="6">
        <f>HYPERLINK("https://docs.wto.org/imrd/directdoc.asp?DDFDocuments/t/G/SPS/NCHL788A1.DOCX", "https://docs.wto.org/imrd/directdoc.asp?DDFDocuments/t/G/SPS/NCHL788A1.DOCX")</f>
      </c>
      <c r="P614" s="6">
        <f>HYPERLINK("https://docs.wto.org/imrd/directdoc.asp?DDFDocuments/u/G/SPS/NCHL788A1.DOCX", "https://docs.wto.org/imrd/directdoc.asp?DDFDocuments/u/G/SPS/NCHL788A1.DOCX")</f>
      </c>
      <c r="Q614" s="6">
        <f>HYPERLINK("https://docs.wto.org/imrd/directdoc.asp?DDFDocuments/v/G/SPS/NCHL788A1.DOCX", "https://docs.wto.org/imrd/directdoc.asp?DDFDocuments/v/G/SPS/NCHL788A1.DOCX")</f>
      </c>
    </row>
    <row r="615">
      <c r="A615" s="6" t="s">
        <v>2030</v>
      </c>
      <c r="B615" s="7">
        <v>45513</v>
      </c>
      <c r="C615" s="6">
        <f>HYPERLINK("https://eping.wto.org/en/Search?viewData= G/TBT/N/UGA/1968"," G/TBT/N/UGA/1968")</f>
      </c>
      <c r="D615" s="8" t="s">
        <v>2453</v>
      </c>
      <c r="E615" s="8" t="s">
        <v>2454</v>
      </c>
      <c r="F615" s="8" t="s">
        <v>2436</v>
      </c>
      <c r="G615" s="6" t="s">
        <v>1730</v>
      </c>
      <c r="H615" s="6" t="s">
        <v>1972</v>
      </c>
      <c r="I615" s="6" t="s">
        <v>81</v>
      </c>
      <c r="J615" s="6" t="s">
        <v>24</v>
      </c>
      <c r="K615" s="6"/>
      <c r="L615" s="7">
        <v>45573</v>
      </c>
      <c r="M615" s="6" t="s">
        <v>25</v>
      </c>
      <c r="N615" s="8" t="s">
        <v>2455</v>
      </c>
      <c r="O615" s="6">
        <f>HYPERLINK("https://docs.wto.org/imrd/directdoc.asp?DDFDocuments/t/G/TBTN24/UGA1968.DOCX", "https://docs.wto.org/imrd/directdoc.asp?DDFDocuments/t/G/TBTN24/UGA1968.DOCX")</f>
      </c>
      <c r="P615" s="6">
        <f>HYPERLINK("https://docs.wto.org/imrd/directdoc.asp?DDFDocuments/u/G/TBTN24/UGA1968.DOCX", "https://docs.wto.org/imrd/directdoc.asp?DDFDocuments/u/G/TBTN24/UGA1968.DOCX")</f>
      </c>
      <c r="Q615" s="6">
        <f>HYPERLINK("https://docs.wto.org/imrd/directdoc.asp?DDFDocuments/v/G/TBTN24/UGA1968.DOCX", "https://docs.wto.org/imrd/directdoc.asp?DDFDocuments/v/G/TBTN24/UGA1968.DOCX")</f>
      </c>
    </row>
    <row r="616">
      <c r="A616" s="6" t="s">
        <v>2024</v>
      </c>
      <c r="B616" s="7">
        <v>45513</v>
      </c>
      <c r="C616" s="6">
        <f>HYPERLINK("https://eping.wto.org/en/Search?viewData= G/TBT/N/BDI/291/Add.1, G/TBT/N/KEN/1326/Add.1, G/TBT/N/RWA/728/Add.1, G/TBT/N/TZA/849/Add.1, G/TBT/N/UGA/1700/Add.1"," G/TBT/N/BDI/291/Add.1, G/TBT/N/KEN/1326/Add.1, G/TBT/N/RWA/728/Add.1, G/TBT/N/TZA/849/Add.1, G/TBT/N/UGA/1700/Add.1")</f>
      </c>
      <c r="D616" s="8" t="s">
        <v>2438</v>
      </c>
      <c r="E616" s="8" t="s">
        <v>2439</v>
      </c>
      <c r="F616" s="8" t="s">
        <v>2440</v>
      </c>
      <c r="G616" s="6" t="s">
        <v>2441</v>
      </c>
      <c r="H616" s="6" t="s">
        <v>2402</v>
      </c>
      <c r="I616" s="6" t="s">
        <v>2456</v>
      </c>
      <c r="J616" s="6" t="s">
        <v>122</v>
      </c>
      <c r="K616" s="6"/>
      <c r="L616" s="7" t="s">
        <v>40</v>
      </c>
      <c r="M616" s="6" t="s">
        <v>76</v>
      </c>
      <c r="N616" s="6"/>
      <c r="O616" s="6">
        <f>HYPERLINK("https://docs.wto.org/imrd/directdoc.asp?DDFDocuments/t/G/TBTN22/BDI291A1.DOCX", "https://docs.wto.org/imrd/directdoc.asp?DDFDocuments/t/G/TBTN22/BDI291A1.DOCX")</f>
      </c>
      <c r="P616" s="6">
        <f>HYPERLINK("https://docs.wto.org/imrd/directdoc.asp?DDFDocuments/u/G/TBTN22/BDI291A1.DOCX", "https://docs.wto.org/imrd/directdoc.asp?DDFDocuments/u/G/TBTN22/BDI291A1.DOCX")</f>
      </c>
      <c r="Q616" s="6">
        <f>HYPERLINK("https://docs.wto.org/imrd/directdoc.asp?DDFDocuments/v/G/TBTN22/BDI291A1.DOCX", "https://docs.wto.org/imrd/directdoc.asp?DDFDocuments/v/G/TBTN22/BDI291A1.DOCX")</f>
      </c>
    </row>
    <row r="617">
      <c r="A617" s="6" t="s">
        <v>2030</v>
      </c>
      <c r="B617" s="7">
        <v>45513</v>
      </c>
      <c r="C617" s="6">
        <f>HYPERLINK("https://eping.wto.org/en/Search?viewData= G/TBT/N/UGA/1970"," G/TBT/N/UGA/1970")</f>
      </c>
      <c r="D617" s="8" t="s">
        <v>2457</v>
      </c>
      <c r="E617" s="8" t="s">
        <v>2458</v>
      </c>
      <c r="F617" s="8" t="s">
        <v>2459</v>
      </c>
      <c r="G617" s="6" t="s">
        <v>2460</v>
      </c>
      <c r="H617" s="6" t="s">
        <v>1972</v>
      </c>
      <c r="I617" s="6" t="s">
        <v>81</v>
      </c>
      <c r="J617" s="6" t="s">
        <v>24</v>
      </c>
      <c r="K617" s="6"/>
      <c r="L617" s="7">
        <v>45573</v>
      </c>
      <c r="M617" s="6" t="s">
        <v>25</v>
      </c>
      <c r="N617" s="8" t="s">
        <v>2461</v>
      </c>
      <c r="O617" s="6">
        <f>HYPERLINK("https://docs.wto.org/imrd/directdoc.asp?DDFDocuments/t/G/TBTN24/UGA1970.DOCX", "https://docs.wto.org/imrd/directdoc.asp?DDFDocuments/t/G/TBTN24/UGA1970.DOCX")</f>
      </c>
      <c r="P617" s="6">
        <f>HYPERLINK("https://docs.wto.org/imrd/directdoc.asp?DDFDocuments/u/G/TBTN24/UGA1970.DOCX", "https://docs.wto.org/imrd/directdoc.asp?DDFDocuments/u/G/TBTN24/UGA1970.DOCX")</f>
      </c>
      <c r="Q617" s="6">
        <f>HYPERLINK("https://docs.wto.org/imrd/directdoc.asp?DDFDocuments/v/G/TBTN24/UGA1970.DOCX", "https://docs.wto.org/imrd/directdoc.asp?DDFDocuments/v/G/TBTN24/UGA1970.DOCX")</f>
      </c>
    </row>
    <row r="618">
      <c r="A618" s="6" t="s">
        <v>412</v>
      </c>
      <c r="B618" s="7">
        <v>45513</v>
      </c>
      <c r="C618" s="6">
        <f>HYPERLINK("https://eping.wto.org/en/Search?viewData= G/SPS/N/COL/345/Add.2"," G/SPS/N/COL/345/Add.2")</f>
      </c>
      <c r="D618" s="8" t="s">
        <v>2462</v>
      </c>
      <c r="E618" s="8" t="s">
        <v>2462</v>
      </c>
      <c r="F618" s="8" t="s">
        <v>2463</v>
      </c>
      <c r="G618" s="6" t="s">
        <v>2464</v>
      </c>
      <c r="H618" s="6" t="s">
        <v>398</v>
      </c>
      <c r="I618" s="6" t="s">
        <v>416</v>
      </c>
      <c r="J618" s="6" t="s">
        <v>1663</v>
      </c>
      <c r="K618" s="6"/>
      <c r="L618" s="7" t="s">
        <v>40</v>
      </c>
      <c r="M618" s="6" t="s">
        <v>76</v>
      </c>
      <c r="N618" s="8" t="s">
        <v>2465</v>
      </c>
      <c r="O618" s="6">
        <f>HYPERLINK("https://docs.wto.org/imrd/directdoc.asp?DDFDocuments/t/G/SPS/NCOL345A2.DOCX", "https://docs.wto.org/imrd/directdoc.asp?DDFDocuments/t/G/SPS/NCOL345A2.DOCX")</f>
      </c>
      <c r="P618" s="6">
        <f>HYPERLINK("https://docs.wto.org/imrd/directdoc.asp?DDFDocuments/u/G/SPS/NCOL345A2.DOCX", "https://docs.wto.org/imrd/directdoc.asp?DDFDocuments/u/G/SPS/NCOL345A2.DOCX")</f>
      </c>
      <c r="Q618" s="6">
        <f>HYPERLINK("https://docs.wto.org/imrd/directdoc.asp?DDFDocuments/v/G/SPS/NCOL345A2.DOCX", "https://docs.wto.org/imrd/directdoc.asp?DDFDocuments/v/G/SPS/NCOL345A2.DOCX")</f>
      </c>
    </row>
    <row r="619">
      <c r="A619" s="6" t="s">
        <v>160</v>
      </c>
      <c r="B619" s="7">
        <v>45513</v>
      </c>
      <c r="C619" s="6">
        <f>HYPERLINK("https://eping.wto.org/en/Search?viewData= G/TBT/N/USA/2135"," G/TBT/N/USA/2135")</f>
      </c>
      <c r="D619" s="8" t="s">
        <v>2466</v>
      </c>
      <c r="E619" s="8" t="s">
        <v>2467</v>
      </c>
      <c r="F619" s="8" t="s">
        <v>2468</v>
      </c>
      <c r="G619" s="6" t="s">
        <v>40</v>
      </c>
      <c r="H619" s="6" t="s">
        <v>2469</v>
      </c>
      <c r="I619" s="6" t="s">
        <v>1815</v>
      </c>
      <c r="J619" s="6" t="s">
        <v>40</v>
      </c>
      <c r="K619" s="6"/>
      <c r="L619" s="7">
        <v>45558</v>
      </c>
      <c r="M619" s="6" t="s">
        <v>25</v>
      </c>
      <c r="N619" s="8" t="s">
        <v>2470</v>
      </c>
      <c r="O619" s="6">
        <f>HYPERLINK("https://docs.wto.org/imrd/directdoc.asp?DDFDocuments/t/G/TBTN24/USA2135.DOCX", "https://docs.wto.org/imrd/directdoc.asp?DDFDocuments/t/G/TBTN24/USA2135.DOCX")</f>
      </c>
      <c r="P619" s="6">
        <f>HYPERLINK("https://docs.wto.org/imrd/directdoc.asp?DDFDocuments/u/G/TBTN24/USA2135.DOCX", "https://docs.wto.org/imrd/directdoc.asp?DDFDocuments/u/G/TBTN24/USA2135.DOCX")</f>
      </c>
      <c r="Q619" s="6">
        <f>HYPERLINK("https://docs.wto.org/imrd/directdoc.asp?DDFDocuments/v/G/TBTN24/USA2135.DOCX", "https://docs.wto.org/imrd/directdoc.asp?DDFDocuments/v/G/TBTN24/USA2135.DOCX")</f>
      </c>
    </row>
    <row r="620">
      <c r="A620" s="6" t="s">
        <v>2030</v>
      </c>
      <c r="B620" s="7">
        <v>45513</v>
      </c>
      <c r="C620" s="6">
        <f>HYPERLINK("https://eping.wto.org/en/Search?viewData= G/SPS/N/UGA/344"," G/SPS/N/UGA/344")</f>
      </c>
      <c r="D620" s="8" t="s">
        <v>2471</v>
      </c>
      <c r="E620" s="8" t="s">
        <v>2458</v>
      </c>
      <c r="F620" s="8" t="s">
        <v>2459</v>
      </c>
      <c r="G620" s="6" t="s">
        <v>2460</v>
      </c>
      <c r="H620" s="6" t="s">
        <v>1972</v>
      </c>
      <c r="I620" s="6" t="s">
        <v>38</v>
      </c>
      <c r="J620" s="6" t="s">
        <v>60</v>
      </c>
      <c r="K620" s="6"/>
      <c r="L620" s="7">
        <v>45573</v>
      </c>
      <c r="M620" s="6" t="s">
        <v>25</v>
      </c>
      <c r="N620" s="8" t="s">
        <v>2472</v>
      </c>
      <c r="O620" s="6">
        <f>HYPERLINK("https://docs.wto.org/imrd/directdoc.asp?DDFDocuments/t/G/SPS/NUGA344.DOCX", "https://docs.wto.org/imrd/directdoc.asp?DDFDocuments/t/G/SPS/NUGA344.DOCX")</f>
      </c>
      <c r="P620" s="6">
        <f>HYPERLINK("https://docs.wto.org/imrd/directdoc.asp?DDFDocuments/u/G/SPS/NUGA344.DOCX", "https://docs.wto.org/imrd/directdoc.asp?DDFDocuments/u/G/SPS/NUGA344.DOCX")</f>
      </c>
      <c r="Q620" s="6">
        <f>HYPERLINK("https://docs.wto.org/imrd/directdoc.asp?DDFDocuments/v/G/SPS/NUGA344.DOCX", "https://docs.wto.org/imrd/directdoc.asp?DDFDocuments/v/G/SPS/NUGA344.DOCX")</f>
      </c>
    </row>
    <row r="621">
      <c r="A621" s="6" t="s">
        <v>2041</v>
      </c>
      <c r="B621" s="7">
        <v>45513</v>
      </c>
      <c r="C621" s="6">
        <f>HYPERLINK("https://eping.wto.org/en/Search?viewData= G/TBT/N/BDI/381/Add.1, G/TBT/N/KEN/1461/Add.1, G/TBT/N/RWA/893/Add.1, G/TBT/N/TZA/995/Add.1, G/TBT/N/UGA/1798/Add.1"," G/TBT/N/BDI/381/Add.1, G/TBT/N/KEN/1461/Add.1, G/TBT/N/RWA/893/Add.1, G/TBT/N/TZA/995/Add.1, G/TBT/N/UGA/1798/Add.1")</f>
      </c>
      <c r="D621" s="8" t="s">
        <v>2387</v>
      </c>
      <c r="E621" s="8" t="s">
        <v>2388</v>
      </c>
      <c r="F621" s="8" t="s">
        <v>2389</v>
      </c>
      <c r="G621" s="6" t="s">
        <v>2390</v>
      </c>
      <c r="H621" s="6" t="s">
        <v>2391</v>
      </c>
      <c r="I621" s="6" t="s">
        <v>2392</v>
      </c>
      <c r="J621" s="6" t="s">
        <v>40</v>
      </c>
      <c r="K621" s="6"/>
      <c r="L621" s="7" t="s">
        <v>40</v>
      </c>
      <c r="M621" s="6" t="s">
        <v>76</v>
      </c>
      <c r="N621" s="6"/>
      <c r="O621" s="6">
        <f>HYPERLINK("https://docs.wto.org/imrd/directdoc.asp?DDFDocuments/t/G/TBTN23/BDI381A1.DOCX", "https://docs.wto.org/imrd/directdoc.asp?DDFDocuments/t/G/TBTN23/BDI381A1.DOCX")</f>
      </c>
      <c r="P621" s="6">
        <f>HYPERLINK("https://docs.wto.org/imrd/directdoc.asp?DDFDocuments/u/G/TBTN23/BDI381A1.DOCX", "https://docs.wto.org/imrd/directdoc.asp?DDFDocuments/u/G/TBTN23/BDI381A1.DOCX")</f>
      </c>
      <c r="Q621" s="6">
        <f>HYPERLINK("https://docs.wto.org/imrd/directdoc.asp?DDFDocuments/v/G/TBTN23/BDI381A1.DOCX", "https://docs.wto.org/imrd/directdoc.asp?DDFDocuments/v/G/TBTN23/BDI381A1.DOCX")</f>
      </c>
    </row>
    <row r="622">
      <c r="A622" s="6" t="s">
        <v>2041</v>
      </c>
      <c r="B622" s="7">
        <v>45513</v>
      </c>
      <c r="C622" s="6">
        <f>HYPERLINK("https://eping.wto.org/en/Search?viewData= G/TBT/N/BDI/354/Add.1, G/TBT/N/KEN/1426/Add.1, G/TBT/N/RWA/862/Add.1, G/TBT/N/TZA/968/Add.1, G/TBT/N/UGA/1770/Add.1"," G/TBT/N/BDI/354/Add.1, G/TBT/N/KEN/1426/Add.1, G/TBT/N/RWA/862/Add.1, G/TBT/N/TZA/968/Add.1, G/TBT/N/UGA/1770/Add.1")</f>
      </c>
      <c r="D622" s="8" t="s">
        <v>2411</v>
      </c>
      <c r="E622" s="8" t="s">
        <v>2412</v>
      </c>
      <c r="F622" s="8" t="s">
        <v>2395</v>
      </c>
      <c r="G622" s="6" t="s">
        <v>2396</v>
      </c>
      <c r="H622" s="6" t="s">
        <v>2397</v>
      </c>
      <c r="I622" s="6" t="s">
        <v>2392</v>
      </c>
      <c r="J622" s="6" t="s">
        <v>40</v>
      </c>
      <c r="K622" s="6"/>
      <c r="L622" s="7" t="s">
        <v>40</v>
      </c>
      <c r="M622" s="6" t="s">
        <v>76</v>
      </c>
      <c r="N622" s="6"/>
      <c r="O622" s="6">
        <f>HYPERLINK("https://docs.wto.org/imrd/directdoc.asp?DDFDocuments/t/G/TBTN23/BDI354A1.DOCX", "https://docs.wto.org/imrd/directdoc.asp?DDFDocuments/t/G/TBTN23/BDI354A1.DOCX")</f>
      </c>
      <c r="P622" s="6">
        <f>HYPERLINK("https://docs.wto.org/imrd/directdoc.asp?DDFDocuments/u/G/TBTN23/BDI354A1.DOCX", "https://docs.wto.org/imrd/directdoc.asp?DDFDocuments/u/G/TBTN23/BDI354A1.DOCX")</f>
      </c>
      <c r="Q622" s="6">
        <f>HYPERLINK("https://docs.wto.org/imrd/directdoc.asp?DDFDocuments/v/G/TBTN23/BDI354A1.DOCX", "https://docs.wto.org/imrd/directdoc.asp?DDFDocuments/v/G/TBTN23/BDI354A1.DOCX")</f>
      </c>
    </row>
    <row r="623">
      <c r="A623" s="6" t="s">
        <v>17</v>
      </c>
      <c r="B623" s="7">
        <v>45513</v>
      </c>
      <c r="C623" s="6">
        <f>HYPERLINK("https://eping.wto.org/en/Search?viewData= G/TBT/N/BDI/355/Add.1, G/TBT/N/KEN/1427/Add.1, G/TBT/N/RWA/863/Add.1, G/TBT/N/TZA/969/Add.1, G/TBT/N/UGA/1771/Add.1"," G/TBT/N/BDI/355/Add.1, G/TBT/N/KEN/1427/Add.1, G/TBT/N/RWA/863/Add.1, G/TBT/N/TZA/969/Add.1, G/TBT/N/UGA/1771/Add.1")</f>
      </c>
      <c r="D623" s="8" t="s">
        <v>2473</v>
      </c>
      <c r="E623" s="8" t="s">
        <v>2474</v>
      </c>
      <c r="F623" s="8" t="s">
        <v>2475</v>
      </c>
      <c r="G623" s="6" t="s">
        <v>2476</v>
      </c>
      <c r="H623" s="6" t="s">
        <v>2397</v>
      </c>
      <c r="I623" s="6" t="s">
        <v>2392</v>
      </c>
      <c r="J623" s="6" t="s">
        <v>40</v>
      </c>
      <c r="K623" s="6"/>
      <c r="L623" s="7" t="s">
        <v>40</v>
      </c>
      <c r="M623" s="6" t="s">
        <v>76</v>
      </c>
      <c r="N623" s="6"/>
      <c r="O623" s="6">
        <f>HYPERLINK("https://docs.wto.org/imrd/directdoc.asp?DDFDocuments/t/G/TBTN23/BDI355A1.DOCX", "https://docs.wto.org/imrd/directdoc.asp?DDFDocuments/t/G/TBTN23/BDI355A1.DOCX")</f>
      </c>
      <c r="P623" s="6">
        <f>HYPERLINK("https://docs.wto.org/imrd/directdoc.asp?DDFDocuments/u/G/TBTN23/BDI355A1.DOCX", "https://docs.wto.org/imrd/directdoc.asp?DDFDocuments/u/G/TBTN23/BDI355A1.DOCX")</f>
      </c>
      <c r="Q623" s="6">
        <f>HYPERLINK("https://docs.wto.org/imrd/directdoc.asp?DDFDocuments/v/G/TBTN23/BDI355A1.DOCX", "https://docs.wto.org/imrd/directdoc.asp?DDFDocuments/v/G/TBTN23/BDI355A1.DOCX")</f>
      </c>
    </row>
    <row r="624">
      <c r="A624" s="6" t="s">
        <v>70</v>
      </c>
      <c r="B624" s="7">
        <v>45513</v>
      </c>
      <c r="C624" s="6">
        <f>HYPERLINK("https://eping.wto.org/en/Search?viewData= G/TBT/N/UKR/299/Add.1"," G/TBT/N/UKR/299/Add.1")</f>
      </c>
      <c r="D624" s="8" t="s">
        <v>2477</v>
      </c>
      <c r="E624" s="8" t="s">
        <v>2478</v>
      </c>
      <c r="F624" s="8" t="s">
        <v>2479</v>
      </c>
      <c r="G624" s="6" t="s">
        <v>1118</v>
      </c>
      <c r="H624" s="6" t="s">
        <v>208</v>
      </c>
      <c r="I624" s="6" t="s">
        <v>280</v>
      </c>
      <c r="J624" s="6" t="s">
        <v>40</v>
      </c>
      <c r="K624" s="6"/>
      <c r="L624" s="7" t="s">
        <v>40</v>
      </c>
      <c r="M624" s="6" t="s">
        <v>76</v>
      </c>
      <c r="N624" s="8" t="s">
        <v>2480</v>
      </c>
      <c r="O624" s="6">
        <f>HYPERLINK("https://docs.wto.org/imrd/directdoc.asp?DDFDocuments/t/G/TBTN24/UKR299A1.DOCX", "https://docs.wto.org/imrd/directdoc.asp?DDFDocuments/t/G/TBTN24/UKR299A1.DOCX")</f>
      </c>
      <c r="P624" s="6">
        <f>HYPERLINK("https://docs.wto.org/imrd/directdoc.asp?DDFDocuments/u/G/TBTN24/UKR299A1.DOCX", "https://docs.wto.org/imrd/directdoc.asp?DDFDocuments/u/G/TBTN24/UKR299A1.DOCX")</f>
      </c>
      <c r="Q624" s="6">
        <f>HYPERLINK("https://docs.wto.org/imrd/directdoc.asp?DDFDocuments/v/G/TBTN24/UKR299A1.DOCX", "https://docs.wto.org/imrd/directdoc.asp?DDFDocuments/v/G/TBTN24/UKR299A1.DOCX")</f>
      </c>
    </row>
    <row r="625">
      <c r="A625" s="6" t="s">
        <v>2030</v>
      </c>
      <c r="B625" s="7">
        <v>45513</v>
      </c>
      <c r="C625" s="6">
        <f>HYPERLINK("https://eping.wto.org/en/Search?viewData= G/TBT/N/UGA/1971"," G/TBT/N/UGA/1971")</f>
      </c>
      <c r="D625" s="8" t="s">
        <v>2481</v>
      </c>
      <c r="E625" s="8" t="s">
        <v>2482</v>
      </c>
      <c r="F625" s="8" t="s">
        <v>2483</v>
      </c>
      <c r="G625" s="6" t="s">
        <v>2484</v>
      </c>
      <c r="H625" s="6" t="s">
        <v>1972</v>
      </c>
      <c r="I625" s="6" t="s">
        <v>81</v>
      </c>
      <c r="J625" s="6" t="s">
        <v>24</v>
      </c>
      <c r="K625" s="6"/>
      <c r="L625" s="7">
        <v>45573</v>
      </c>
      <c r="M625" s="6" t="s">
        <v>25</v>
      </c>
      <c r="N625" s="8" t="s">
        <v>2485</v>
      </c>
      <c r="O625" s="6">
        <f>HYPERLINK("https://docs.wto.org/imrd/directdoc.asp?DDFDocuments/t/G/TBTN24/UGA1971.DOCX", "https://docs.wto.org/imrd/directdoc.asp?DDFDocuments/t/G/TBTN24/UGA1971.DOCX")</f>
      </c>
      <c r="P625" s="6">
        <f>HYPERLINK("https://docs.wto.org/imrd/directdoc.asp?DDFDocuments/u/G/TBTN24/UGA1971.DOCX", "https://docs.wto.org/imrd/directdoc.asp?DDFDocuments/u/G/TBTN24/UGA1971.DOCX")</f>
      </c>
      <c r="Q625" s="6">
        <f>HYPERLINK("https://docs.wto.org/imrd/directdoc.asp?DDFDocuments/v/G/TBTN24/UGA1971.DOCX", "https://docs.wto.org/imrd/directdoc.asp?DDFDocuments/v/G/TBTN24/UGA1971.DOCX")</f>
      </c>
    </row>
    <row r="626">
      <c r="A626" s="6" t="s">
        <v>2030</v>
      </c>
      <c r="B626" s="7">
        <v>45513</v>
      </c>
      <c r="C626" s="6">
        <f>HYPERLINK("https://eping.wto.org/en/Search?viewData= G/TBT/N/BDI/353/Add.1, G/TBT/N/KEN/1425/Add.1, G/TBT/N/RWA/861/Add.1, G/TBT/N/TZA/967/Add.1, G/TBT/N/UGA/1769/Add.1"," G/TBT/N/BDI/353/Add.1, G/TBT/N/KEN/1425/Add.1, G/TBT/N/RWA/861/Add.1, G/TBT/N/TZA/967/Add.1, G/TBT/N/UGA/1769/Add.1")</f>
      </c>
      <c r="D626" s="8" t="s">
        <v>2393</v>
      </c>
      <c r="E626" s="8" t="s">
        <v>2394</v>
      </c>
      <c r="F626" s="8" t="s">
        <v>2395</v>
      </c>
      <c r="G626" s="6" t="s">
        <v>2396</v>
      </c>
      <c r="H626" s="6" t="s">
        <v>2397</v>
      </c>
      <c r="I626" s="6" t="s">
        <v>2392</v>
      </c>
      <c r="J626" s="6" t="s">
        <v>40</v>
      </c>
      <c r="K626" s="6"/>
      <c r="L626" s="7" t="s">
        <v>40</v>
      </c>
      <c r="M626" s="6" t="s">
        <v>76</v>
      </c>
      <c r="N626" s="6"/>
      <c r="O626" s="6">
        <f>HYPERLINK("https://docs.wto.org/imrd/directdoc.asp?DDFDocuments/t/G/TBTN23/BDI353A1.DOCX", "https://docs.wto.org/imrd/directdoc.asp?DDFDocuments/t/G/TBTN23/BDI353A1.DOCX")</f>
      </c>
      <c r="P626" s="6">
        <f>HYPERLINK("https://docs.wto.org/imrd/directdoc.asp?DDFDocuments/u/G/TBTN23/BDI353A1.DOCX", "https://docs.wto.org/imrd/directdoc.asp?DDFDocuments/u/G/TBTN23/BDI353A1.DOCX")</f>
      </c>
      <c r="Q626" s="6">
        <f>HYPERLINK("https://docs.wto.org/imrd/directdoc.asp?DDFDocuments/v/G/TBTN23/BDI353A1.DOCX", "https://docs.wto.org/imrd/directdoc.asp?DDFDocuments/v/G/TBTN23/BDI353A1.DOCX")</f>
      </c>
    </row>
    <row r="627">
      <c r="A627" s="6" t="s">
        <v>2024</v>
      </c>
      <c r="B627" s="7">
        <v>45513</v>
      </c>
      <c r="C627" s="6">
        <f>HYPERLINK("https://eping.wto.org/en/Search?viewData= G/TBT/N/BDI/292/Add.1, G/TBT/N/KEN/1327/Add.1, G/TBT/N/RWA/729/Add.1, G/TBT/N/TZA/850/Add.1, G/TBT/N/UGA/1701/Add.1"," G/TBT/N/BDI/292/Add.1, G/TBT/N/KEN/1327/Add.1, G/TBT/N/RWA/729/Add.1, G/TBT/N/TZA/850/Add.1, G/TBT/N/UGA/1701/Add.1")</f>
      </c>
      <c r="D627" s="8" t="s">
        <v>2398</v>
      </c>
      <c r="E627" s="8" t="s">
        <v>2399</v>
      </c>
      <c r="F627" s="8" t="s">
        <v>2400</v>
      </c>
      <c r="G627" s="6" t="s">
        <v>2401</v>
      </c>
      <c r="H627" s="6" t="s">
        <v>2402</v>
      </c>
      <c r="I627" s="6" t="s">
        <v>2121</v>
      </c>
      <c r="J627" s="6" t="s">
        <v>122</v>
      </c>
      <c r="K627" s="6"/>
      <c r="L627" s="7" t="s">
        <v>40</v>
      </c>
      <c r="M627" s="6" t="s">
        <v>76</v>
      </c>
      <c r="N627" s="6"/>
      <c r="O627" s="6">
        <f>HYPERLINK("https://docs.wto.org/imrd/directdoc.asp?DDFDocuments/t/G/TBTN22/BDI292A1.DOCX", "https://docs.wto.org/imrd/directdoc.asp?DDFDocuments/t/G/TBTN22/BDI292A1.DOCX")</f>
      </c>
      <c r="P627" s="6">
        <f>HYPERLINK("https://docs.wto.org/imrd/directdoc.asp?DDFDocuments/u/G/TBTN22/BDI292A1.DOCX", "https://docs.wto.org/imrd/directdoc.asp?DDFDocuments/u/G/TBTN22/BDI292A1.DOCX")</f>
      </c>
      <c r="Q627" s="6">
        <f>HYPERLINK("https://docs.wto.org/imrd/directdoc.asp?DDFDocuments/v/G/TBTN22/BDI292A1.DOCX", "https://docs.wto.org/imrd/directdoc.asp?DDFDocuments/v/G/TBTN22/BDI292A1.DOCX")</f>
      </c>
    </row>
    <row r="628">
      <c r="A628" s="6" t="s">
        <v>2030</v>
      </c>
      <c r="B628" s="7">
        <v>45513</v>
      </c>
      <c r="C628" s="6">
        <f>HYPERLINK("https://eping.wto.org/en/Search?viewData= G/TBT/N/BDI/292/Add.1, G/TBT/N/KEN/1327/Add.1, G/TBT/N/RWA/729/Add.1, G/TBT/N/TZA/850/Add.1, G/TBT/N/UGA/1701/Add.1"," G/TBT/N/BDI/292/Add.1, G/TBT/N/KEN/1327/Add.1, G/TBT/N/RWA/729/Add.1, G/TBT/N/TZA/850/Add.1, G/TBT/N/UGA/1701/Add.1")</f>
      </c>
      <c r="D628" s="8" t="s">
        <v>2398</v>
      </c>
      <c r="E628" s="8" t="s">
        <v>2399</v>
      </c>
      <c r="F628" s="8" t="s">
        <v>2400</v>
      </c>
      <c r="G628" s="6" t="s">
        <v>2401</v>
      </c>
      <c r="H628" s="6" t="s">
        <v>2402</v>
      </c>
      <c r="I628" s="6" t="s">
        <v>2121</v>
      </c>
      <c r="J628" s="6" t="s">
        <v>122</v>
      </c>
      <c r="K628" s="6"/>
      <c r="L628" s="7" t="s">
        <v>40</v>
      </c>
      <c r="M628" s="6" t="s">
        <v>76</v>
      </c>
      <c r="N628" s="6"/>
      <c r="O628" s="6">
        <f>HYPERLINK("https://docs.wto.org/imrd/directdoc.asp?DDFDocuments/t/G/TBTN22/BDI292A1.DOCX", "https://docs.wto.org/imrd/directdoc.asp?DDFDocuments/t/G/TBTN22/BDI292A1.DOCX")</f>
      </c>
      <c r="P628" s="6">
        <f>HYPERLINK("https://docs.wto.org/imrd/directdoc.asp?DDFDocuments/u/G/TBTN22/BDI292A1.DOCX", "https://docs.wto.org/imrd/directdoc.asp?DDFDocuments/u/G/TBTN22/BDI292A1.DOCX")</f>
      </c>
      <c r="Q628" s="6">
        <f>HYPERLINK("https://docs.wto.org/imrd/directdoc.asp?DDFDocuments/v/G/TBTN22/BDI292A1.DOCX", "https://docs.wto.org/imrd/directdoc.asp?DDFDocuments/v/G/TBTN22/BDI292A1.DOCX")</f>
      </c>
    </row>
    <row r="629">
      <c r="A629" s="6" t="s">
        <v>2030</v>
      </c>
      <c r="B629" s="7">
        <v>45513</v>
      </c>
      <c r="C629" s="6">
        <f>HYPERLINK("https://eping.wto.org/en/Search?viewData= G/SPS/N/UGA/346"," G/SPS/N/UGA/346")</f>
      </c>
      <c r="D629" s="8" t="s">
        <v>2486</v>
      </c>
      <c r="E629" s="8" t="s">
        <v>2290</v>
      </c>
      <c r="F629" s="8" t="s">
        <v>2291</v>
      </c>
      <c r="G629" s="6" t="s">
        <v>2292</v>
      </c>
      <c r="H629" s="6" t="s">
        <v>1972</v>
      </c>
      <c r="I629" s="6" t="s">
        <v>38</v>
      </c>
      <c r="J629" s="6" t="s">
        <v>60</v>
      </c>
      <c r="K629" s="6"/>
      <c r="L629" s="7">
        <v>45573</v>
      </c>
      <c r="M629" s="6" t="s">
        <v>25</v>
      </c>
      <c r="N629" s="8" t="s">
        <v>2487</v>
      </c>
      <c r="O629" s="6">
        <f>HYPERLINK("https://docs.wto.org/imrd/directdoc.asp?DDFDocuments/t/G/SPS/NUGA346.DOCX", "https://docs.wto.org/imrd/directdoc.asp?DDFDocuments/t/G/SPS/NUGA346.DOCX")</f>
      </c>
      <c r="P629" s="6">
        <f>HYPERLINK("https://docs.wto.org/imrd/directdoc.asp?DDFDocuments/u/G/SPS/NUGA346.DOCX", "https://docs.wto.org/imrd/directdoc.asp?DDFDocuments/u/G/SPS/NUGA346.DOCX")</f>
      </c>
      <c r="Q629" s="6">
        <f>HYPERLINK("https://docs.wto.org/imrd/directdoc.asp?DDFDocuments/v/G/SPS/NUGA346.DOCX", "https://docs.wto.org/imrd/directdoc.asp?DDFDocuments/v/G/SPS/NUGA346.DOCX")</f>
      </c>
    </row>
    <row r="630">
      <c r="A630" s="6" t="s">
        <v>880</v>
      </c>
      <c r="B630" s="7">
        <v>45513</v>
      </c>
      <c r="C630" s="6">
        <f>HYPERLINK("https://eping.wto.org/en/Search?viewData= G/TBT/N/BDI/382/Add.1, G/TBT/N/KEN/1462/Add.1, G/TBT/N/RWA/894/Add.1, G/TBT/N/TZA/996/Add.1, G/TBT/N/UGA/1799/Add.1"," G/TBT/N/BDI/382/Add.1, G/TBT/N/KEN/1462/Add.1, G/TBT/N/RWA/894/Add.1, G/TBT/N/TZA/996/Add.1, G/TBT/N/UGA/1799/Add.1")</f>
      </c>
      <c r="D630" s="8" t="s">
        <v>2488</v>
      </c>
      <c r="E630" s="8" t="s">
        <v>2489</v>
      </c>
      <c r="F630" s="8" t="s">
        <v>2490</v>
      </c>
      <c r="G630" s="6" t="s">
        <v>2491</v>
      </c>
      <c r="H630" s="6" t="s">
        <v>2492</v>
      </c>
      <c r="I630" s="6" t="s">
        <v>2153</v>
      </c>
      <c r="J630" s="6" t="s">
        <v>40</v>
      </c>
      <c r="K630" s="6"/>
      <c r="L630" s="7" t="s">
        <v>40</v>
      </c>
      <c r="M630" s="6" t="s">
        <v>76</v>
      </c>
      <c r="N630" s="6"/>
      <c r="O630" s="6">
        <f>HYPERLINK("https://docs.wto.org/imrd/directdoc.asp?DDFDocuments/t/G/TBTN23/BDI382A1.DOCX", "https://docs.wto.org/imrd/directdoc.asp?DDFDocuments/t/G/TBTN23/BDI382A1.DOCX")</f>
      </c>
      <c r="P630" s="6">
        <f>HYPERLINK("https://docs.wto.org/imrd/directdoc.asp?DDFDocuments/u/G/TBTN23/BDI382A1.DOCX", "https://docs.wto.org/imrd/directdoc.asp?DDFDocuments/u/G/TBTN23/BDI382A1.DOCX")</f>
      </c>
      <c r="Q630" s="6">
        <f>HYPERLINK("https://docs.wto.org/imrd/directdoc.asp?DDFDocuments/v/G/TBTN23/BDI382A1.DOCX", "https://docs.wto.org/imrd/directdoc.asp?DDFDocuments/v/G/TBTN23/BDI382A1.DOCX")</f>
      </c>
    </row>
    <row r="631">
      <c r="A631" s="6" t="s">
        <v>160</v>
      </c>
      <c r="B631" s="7">
        <v>45513</v>
      </c>
      <c r="C631" s="6">
        <f>HYPERLINK("https://eping.wto.org/en/Search?viewData= G/SPS/N/USA/3463"," G/SPS/N/USA/3463")</f>
      </c>
      <c r="D631" s="8" t="s">
        <v>1012</v>
      </c>
      <c r="E631" s="8" t="s">
        <v>2493</v>
      </c>
      <c r="F631" s="8" t="s">
        <v>1014</v>
      </c>
      <c r="G631" s="6" t="s">
        <v>2494</v>
      </c>
      <c r="H631" s="6" t="s">
        <v>40</v>
      </c>
      <c r="I631" s="6" t="s">
        <v>38</v>
      </c>
      <c r="J631" s="6" t="s">
        <v>2495</v>
      </c>
      <c r="K631" s="6" t="s">
        <v>40</v>
      </c>
      <c r="L631" s="7">
        <v>45572</v>
      </c>
      <c r="M631" s="6" t="s">
        <v>25</v>
      </c>
      <c r="N631" s="8" t="s">
        <v>1017</v>
      </c>
      <c r="O631" s="6">
        <f>HYPERLINK("https://docs.wto.org/imrd/directdoc.asp?DDFDocuments/t/G/SPS/NUSA3463.DOCX", "https://docs.wto.org/imrd/directdoc.asp?DDFDocuments/t/G/SPS/NUSA3463.DOCX")</f>
      </c>
      <c r="P631" s="6">
        <f>HYPERLINK("https://docs.wto.org/imrd/directdoc.asp?DDFDocuments/u/G/SPS/NUSA3463.DOCX", "https://docs.wto.org/imrd/directdoc.asp?DDFDocuments/u/G/SPS/NUSA3463.DOCX")</f>
      </c>
      <c r="Q631" s="6">
        <f>HYPERLINK("https://docs.wto.org/imrd/directdoc.asp?DDFDocuments/v/G/SPS/NUSA3463.DOCX", "https://docs.wto.org/imrd/directdoc.asp?DDFDocuments/v/G/SPS/NUSA3463.DOCX")</f>
      </c>
    </row>
    <row r="632">
      <c r="A632" s="6" t="s">
        <v>2030</v>
      </c>
      <c r="B632" s="7">
        <v>45513</v>
      </c>
      <c r="C632" s="6">
        <f>HYPERLINK("https://eping.wto.org/en/Search?viewData= G/SPS/N/UGA/345"," G/SPS/N/UGA/345")</f>
      </c>
      <c r="D632" s="8" t="s">
        <v>2496</v>
      </c>
      <c r="E632" s="8" t="s">
        <v>2482</v>
      </c>
      <c r="F632" s="8" t="s">
        <v>2483</v>
      </c>
      <c r="G632" s="6" t="s">
        <v>2484</v>
      </c>
      <c r="H632" s="6" t="s">
        <v>1972</v>
      </c>
      <c r="I632" s="6" t="s">
        <v>38</v>
      </c>
      <c r="J632" s="6" t="s">
        <v>60</v>
      </c>
      <c r="K632" s="6"/>
      <c r="L632" s="7">
        <v>45573</v>
      </c>
      <c r="M632" s="6" t="s">
        <v>25</v>
      </c>
      <c r="N632" s="8" t="s">
        <v>2497</v>
      </c>
      <c r="O632" s="6">
        <f>HYPERLINK("https://docs.wto.org/imrd/directdoc.asp?DDFDocuments/t/G/SPS/NUGA345.DOCX", "https://docs.wto.org/imrd/directdoc.asp?DDFDocuments/t/G/SPS/NUGA345.DOCX")</f>
      </c>
      <c r="P632" s="6">
        <f>HYPERLINK("https://docs.wto.org/imrd/directdoc.asp?DDFDocuments/u/G/SPS/NUGA345.DOCX", "https://docs.wto.org/imrd/directdoc.asp?DDFDocuments/u/G/SPS/NUGA345.DOCX")</f>
      </c>
      <c r="Q632" s="6">
        <f>HYPERLINK("https://docs.wto.org/imrd/directdoc.asp?DDFDocuments/v/G/SPS/NUGA345.DOCX", "https://docs.wto.org/imrd/directdoc.asp?DDFDocuments/v/G/SPS/NUGA345.DOCX")</f>
      </c>
    </row>
    <row r="633">
      <c r="A633" s="6" t="s">
        <v>2030</v>
      </c>
      <c r="B633" s="7">
        <v>45513</v>
      </c>
      <c r="C633" s="6">
        <f>HYPERLINK("https://eping.wto.org/en/Search?viewData= G/TBT/N/BDI/379/Add.1, G/TBT/N/KEN/1459/Add.1, G/TBT/N/RWA/891/Add.1, G/TBT/N/TZA/993/Add.1, G/TBT/N/UGA/1796/Add.1"," G/TBT/N/BDI/379/Add.1, G/TBT/N/KEN/1459/Add.1, G/TBT/N/RWA/891/Add.1, G/TBT/N/TZA/993/Add.1, G/TBT/N/UGA/1796/Add.1")</f>
      </c>
      <c r="D633" s="8" t="s">
        <v>2413</v>
      </c>
      <c r="E633" s="8" t="s">
        <v>2414</v>
      </c>
      <c r="F633" s="8" t="s">
        <v>2415</v>
      </c>
      <c r="G633" s="6" t="s">
        <v>2416</v>
      </c>
      <c r="H633" s="6" t="s">
        <v>2417</v>
      </c>
      <c r="I633" s="6" t="s">
        <v>2418</v>
      </c>
      <c r="J633" s="6" t="s">
        <v>40</v>
      </c>
      <c r="K633" s="6"/>
      <c r="L633" s="7" t="s">
        <v>40</v>
      </c>
      <c r="M633" s="6" t="s">
        <v>76</v>
      </c>
      <c r="N633" s="6"/>
      <c r="O633" s="6">
        <f>HYPERLINK("https://docs.wto.org/imrd/directdoc.asp?DDFDocuments/t/G/TBTN23/BDI379A1.DOCX", "https://docs.wto.org/imrd/directdoc.asp?DDFDocuments/t/G/TBTN23/BDI379A1.DOCX")</f>
      </c>
      <c r="P633" s="6">
        <f>HYPERLINK("https://docs.wto.org/imrd/directdoc.asp?DDFDocuments/u/G/TBTN23/BDI379A1.DOCX", "https://docs.wto.org/imrd/directdoc.asp?DDFDocuments/u/G/TBTN23/BDI379A1.DOCX")</f>
      </c>
      <c r="Q633" s="6">
        <f>HYPERLINK("https://docs.wto.org/imrd/directdoc.asp?DDFDocuments/v/G/TBTN23/BDI379A1.DOCX", "https://docs.wto.org/imrd/directdoc.asp?DDFDocuments/v/G/TBTN23/BDI379A1.DOCX")</f>
      </c>
    </row>
    <row r="634">
      <c r="A634" s="6" t="s">
        <v>17</v>
      </c>
      <c r="B634" s="7">
        <v>45513</v>
      </c>
      <c r="C634" s="6">
        <f>HYPERLINK("https://eping.wto.org/en/Search?viewData= G/TBT/N/BDI/293/Add.1, G/TBT/N/KEN/1328/Add.1, G/TBT/N/RWA/730/Add.1, G/TBT/N/TZA/851/Add.1, G/TBT/N/UGA/1702/Add.1"," G/TBT/N/BDI/293/Add.1, G/TBT/N/KEN/1328/Add.1, G/TBT/N/RWA/730/Add.1, G/TBT/N/TZA/851/Add.1, G/TBT/N/UGA/1702/Add.1")</f>
      </c>
      <c r="D634" s="8" t="s">
        <v>2419</v>
      </c>
      <c r="E634" s="8" t="s">
        <v>2420</v>
      </c>
      <c r="F634" s="8" t="s">
        <v>2421</v>
      </c>
      <c r="G634" s="6" t="s">
        <v>2422</v>
      </c>
      <c r="H634" s="6" t="s">
        <v>2402</v>
      </c>
      <c r="I634" s="6" t="s">
        <v>2121</v>
      </c>
      <c r="J634" s="6" t="s">
        <v>122</v>
      </c>
      <c r="K634" s="6"/>
      <c r="L634" s="7" t="s">
        <v>40</v>
      </c>
      <c r="M634" s="6" t="s">
        <v>76</v>
      </c>
      <c r="N634" s="6"/>
      <c r="O634" s="6">
        <f>HYPERLINK("https://docs.wto.org/imrd/directdoc.asp?DDFDocuments/t/G/TBTN22/BDI293A1.DOCX", "https://docs.wto.org/imrd/directdoc.asp?DDFDocuments/t/G/TBTN22/BDI293A1.DOCX")</f>
      </c>
      <c r="P634" s="6">
        <f>HYPERLINK("https://docs.wto.org/imrd/directdoc.asp?DDFDocuments/u/G/TBTN22/BDI293A1.DOCX", "https://docs.wto.org/imrd/directdoc.asp?DDFDocuments/u/G/TBTN22/BDI293A1.DOCX")</f>
      </c>
      <c r="Q634" s="6">
        <f>HYPERLINK("https://docs.wto.org/imrd/directdoc.asp?DDFDocuments/v/G/TBTN22/BDI293A1.DOCX", "https://docs.wto.org/imrd/directdoc.asp?DDFDocuments/v/G/TBTN22/BDI293A1.DOCX")</f>
      </c>
    </row>
    <row r="635">
      <c r="A635" s="6" t="s">
        <v>2030</v>
      </c>
      <c r="B635" s="7">
        <v>45513</v>
      </c>
      <c r="C635" s="6">
        <f>HYPERLINK("https://eping.wto.org/en/Search?viewData= G/SPS/N/UGA/341"," G/SPS/N/UGA/341")</f>
      </c>
      <c r="D635" s="8" t="s">
        <v>2498</v>
      </c>
      <c r="E635" s="8" t="s">
        <v>2404</v>
      </c>
      <c r="F635" s="8" t="s">
        <v>2499</v>
      </c>
      <c r="G635" s="6" t="s">
        <v>1730</v>
      </c>
      <c r="H635" s="6" t="s">
        <v>1972</v>
      </c>
      <c r="I635" s="6" t="s">
        <v>38</v>
      </c>
      <c r="J635" s="6" t="s">
        <v>60</v>
      </c>
      <c r="K635" s="6"/>
      <c r="L635" s="7">
        <v>45573</v>
      </c>
      <c r="M635" s="6" t="s">
        <v>25</v>
      </c>
      <c r="N635" s="8" t="s">
        <v>2500</v>
      </c>
      <c r="O635" s="6">
        <f>HYPERLINK("https://docs.wto.org/imrd/directdoc.asp?DDFDocuments/t/G/SPS/NUGA341.DOCX", "https://docs.wto.org/imrd/directdoc.asp?DDFDocuments/t/G/SPS/NUGA341.DOCX")</f>
      </c>
      <c r="P635" s="6">
        <f>HYPERLINK("https://docs.wto.org/imrd/directdoc.asp?DDFDocuments/u/G/SPS/NUGA341.DOCX", "https://docs.wto.org/imrd/directdoc.asp?DDFDocuments/u/G/SPS/NUGA341.DOCX")</f>
      </c>
      <c r="Q635" s="6">
        <f>HYPERLINK("https://docs.wto.org/imrd/directdoc.asp?DDFDocuments/v/G/SPS/NUGA341.DOCX", "https://docs.wto.org/imrd/directdoc.asp?DDFDocuments/v/G/SPS/NUGA341.DOCX")</f>
      </c>
    </row>
    <row r="636">
      <c r="A636" s="6" t="s">
        <v>2030</v>
      </c>
      <c r="B636" s="7">
        <v>45513</v>
      </c>
      <c r="C636" s="6">
        <f>HYPERLINK("https://eping.wto.org/en/Search?viewData= G/SPS/N/UGA/347"," G/SPS/N/UGA/347")</f>
      </c>
      <c r="D636" s="8" t="s">
        <v>2501</v>
      </c>
      <c r="E636" s="8" t="s">
        <v>2502</v>
      </c>
      <c r="F636" s="8" t="s">
        <v>2503</v>
      </c>
      <c r="G636" s="6" t="s">
        <v>2385</v>
      </c>
      <c r="H636" s="6" t="s">
        <v>31</v>
      </c>
      <c r="I636" s="6" t="s">
        <v>38</v>
      </c>
      <c r="J636" s="6" t="s">
        <v>60</v>
      </c>
      <c r="K636" s="6"/>
      <c r="L636" s="7">
        <v>45573</v>
      </c>
      <c r="M636" s="6" t="s">
        <v>25</v>
      </c>
      <c r="N636" s="8" t="s">
        <v>2504</v>
      </c>
      <c r="O636" s="6">
        <f>HYPERLINK("https://docs.wto.org/imrd/directdoc.asp?DDFDocuments/t/G/SPS/NUGA347.DOCX", "https://docs.wto.org/imrd/directdoc.asp?DDFDocuments/t/G/SPS/NUGA347.DOCX")</f>
      </c>
      <c r="P636" s="6"/>
      <c r="Q636" s="6">
        <f>HYPERLINK("https://docs.wto.org/imrd/directdoc.asp?DDFDocuments/v/G/SPS/NUGA347.DOCX", "https://docs.wto.org/imrd/directdoc.asp?DDFDocuments/v/G/SPS/NUGA347.DOCX")</f>
      </c>
    </row>
    <row r="637">
      <c r="A637" s="6" t="s">
        <v>17</v>
      </c>
      <c r="B637" s="7">
        <v>45513</v>
      </c>
      <c r="C637" s="6">
        <f>HYPERLINK("https://eping.wto.org/en/Search?viewData= G/TBT/N/BDI/378/Add.1, G/TBT/N/KEN/1458/Add.1, G/TBT/N/RWA/890/Add.1, G/TBT/N/TZA/992/Add.1, G/TBT/N/UGA/1795/Add.1"," G/TBT/N/BDI/378/Add.1, G/TBT/N/KEN/1458/Add.1, G/TBT/N/RWA/890/Add.1, G/TBT/N/TZA/992/Add.1, G/TBT/N/UGA/1795/Add.1")</f>
      </c>
      <c r="D637" s="8" t="s">
        <v>2505</v>
      </c>
      <c r="E637" s="8" t="s">
        <v>2506</v>
      </c>
      <c r="F637" s="8" t="s">
        <v>2507</v>
      </c>
      <c r="G637" s="6" t="s">
        <v>2508</v>
      </c>
      <c r="H637" s="6" t="s">
        <v>2509</v>
      </c>
      <c r="I637" s="6" t="s">
        <v>2153</v>
      </c>
      <c r="J637" s="6" t="s">
        <v>40</v>
      </c>
      <c r="K637" s="6"/>
      <c r="L637" s="7" t="s">
        <v>40</v>
      </c>
      <c r="M637" s="6" t="s">
        <v>76</v>
      </c>
      <c r="N637" s="6"/>
      <c r="O637" s="6">
        <f>HYPERLINK("https://docs.wto.org/imrd/directdoc.asp?DDFDocuments/t/G/TBTN23/BDI378A1.DOCX", "https://docs.wto.org/imrd/directdoc.asp?DDFDocuments/t/G/TBTN23/BDI378A1.DOCX")</f>
      </c>
      <c r="P637" s="6">
        <f>HYPERLINK("https://docs.wto.org/imrd/directdoc.asp?DDFDocuments/u/G/TBTN23/BDI378A1.DOCX", "https://docs.wto.org/imrd/directdoc.asp?DDFDocuments/u/G/TBTN23/BDI378A1.DOCX")</f>
      </c>
      <c r="Q637" s="6">
        <f>HYPERLINK("https://docs.wto.org/imrd/directdoc.asp?DDFDocuments/v/G/TBTN23/BDI378A1.DOCX", "https://docs.wto.org/imrd/directdoc.asp?DDFDocuments/v/G/TBTN23/BDI378A1.DOCX")</f>
      </c>
    </row>
    <row r="638">
      <c r="A638" s="6" t="s">
        <v>2041</v>
      </c>
      <c r="B638" s="7">
        <v>45513</v>
      </c>
      <c r="C638" s="6">
        <f>HYPERLINK("https://eping.wto.org/en/Search?viewData= G/TBT/N/BDI/378/Add.1, G/TBT/N/KEN/1458/Add.1, G/TBT/N/RWA/890/Add.1, G/TBT/N/TZA/992/Add.1, G/TBT/N/UGA/1795/Add.1"," G/TBT/N/BDI/378/Add.1, G/TBT/N/KEN/1458/Add.1, G/TBT/N/RWA/890/Add.1, G/TBT/N/TZA/992/Add.1, G/TBT/N/UGA/1795/Add.1")</f>
      </c>
      <c r="D638" s="8" t="s">
        <v>2505</v>
      </c>
      <c r="E638" s="8" t="s">
        <v>2506</v>
      </c>
      <c r="F638" s="8" t="s">
        <v>2507</v>
      </c>
      <c r="G638" s="6" t="s">
        <v>2508</v>
      </c>
      <c r="H638" s="6" t="s">
        <v>2509</v>
      </c>
      <c r="I638" s="6" t="s">
        <v>2153</v>
      </c>
      <c r="J638" s="6" t="s">
        <v>40</v>
      </c>
      <c r="K638" s="6"/>
      <c r="L638" s="7" t="s">
        <v>40</v>
      </c>
      <c r="M638" s="6" t="s">
        <v>76</v>
      </c>
      <c r="N638" s="6"/>
      <c r="O638" s="6">
        <f>HYPERLINK("https://docs.wto.org/imrd/directdoc.asp?DDFDocuments/t/G/TBTN23/BDI378A1.DOCX", "https://docs.wto.org/imrd/directdoc.asp?DDFDocuments/t/G/TBTN23/BDI378A1.DOCX")</f>
      </c>
      <c r="P638" s="6">
        <f>HYPERLINK("https://docs.wto.org/imrd/directdoc.asp?DDFDocuments/u/G/TBTN23/BDI378A1.DOCX", "https://docs.wto.org/imrd/directdoc.asp?DDFDocuments/u/G/TBTN23/BDI378A1.DOCX")</f>
      </c>
      <c r="Q638" s="6">
        <f>HYPERLINK("https://docs.wto.org/imrd/directdoc.asp?DDFDocuments/v/G/TBTN23/BDI378A1.DOCX", "https://docs.wto.org/imrd/directdoc.asp?DDFDocuments/v/G/TBTN23/BDI378A1.DOCX")</f>
      </c>
    </row>
    <row r="639">
      <c r="A639" s="6" t="s">
        <v>2030</v>
      </c>
      <c r="B639" s="7">
        <v>45513</v>
      </c>
      <c r="C639" s="6">
        <f>HYPERLINK("https://eping.wto.org/en/Search?viewData= G/TBT/N/BDI/378/Add.1, G/TBT/N/KEN/1458/Add.1, G/TBT/N/RWA/890/Add.1, G/TBT/N/TZA/992/Add.1, G/TBT/N/UGA/1795/Add.1"," G/TBT/N/BDI/378/Add.1, G/TBT/N/KEN/1458/Add.1, G/TBT/N/RWA/890/Add.1, G/TBT/N/TZA/992/Add.1, G/TBT/N/UGA/1795/Add.1")</f>
      </c>
      <c r="D639" s="8" t="s">
        <v>2505</v>
      </c>
      <c r="E639" s="8" t="s">
        <v>2506</v>
      </c>
      <c r="F639" s="8" t="s">
        <v>2507</v>
      </c>
      <c r="G639" s="6" t="s">
        <v>2508</v>
      </c>
      <c r="H639" s="6" t="s">
        <v>2509</v>
      </c>
      <c r="I639" s="6" t="s">
        <v>2153</v>
      </c>
      <c r="J639" s="6" t="s">
        <v>40</v>
      </c>
      <c r="K639" s="6"/>
      <c r="L639" s="7" t="s">
        <v>40</v>
      </c>
      <c r="M639" s="6" t="s">
        <v>76</v>
      </c>
      <c r="N639" s="6"/>
      <c r="O639" s="6">
        <f>HYPERLINK("https://docs.wto.org/imrd/directdoc.asp?DDFDocuments/t/G/TBTN23/BDI378A1.DOCX", "https://docs.wto.org/imrd/directdoc.asp?DDFDocuments/t/G/TBTN23/BDI378A1.DOCX")</f>
      </c>
      <c r="P639" s="6">
        <f>HYPERLINK("https://docs.wto.org/imrd/directdoc.asp?DDFDocuments/u/G/TBTN23/BDI378A1.DOCX", "https://docs.wto.org/imrd/directdoc.asp?DDFDocuments/u/G/TBTN23/BDI378A1.DOCX")</f>
      </c>
      <c r="Q639" s="6">
        <f>HYPERLINK("https://docs.wto.org/imrd/directdoc.asp?DDFDocuments/v/G/TBTN23/BDI378A1.DOCX", "https://docs.wto.org/imrd/directdoc.asp?DDFDocuments/v/G/TBTN23/BDI378A1.DOCX")</f>
      </c>
    </row>
    <row r="640">
      <c r="A640" s="6" t="s">
        <v>2024</v>
      </c>
      <c r="B640" s="7">
        <v>45513</v>
      </c>
      <c r="C640" s="6">
        <f>HYPERLINK("https://eping.wto.org/en/Search?viewData= G/TBT/N/BDI/382/Add.1, G/TBT/N/KEN/1462/Add.1, G/TBT/N/RWA/894/Add.1, G/TBT/N/TZA/996/Add.1, G/TBT/N/UGA/1799/Add.1"," G/TBT/N/BDI/382/Add.1, G/TBT/N/KEN/1462/Add.1, G/TBT/N/RWA/894/Add.1, G/TBT/N/TZA/996/Add.1, G/TBT/N/UGA/1799/Add.1")</f>
      </c>
      <c r="D640" s="8" t="s">
        <v>2488</v>
      </c>
      <c r="E640" s="8" t="s">
        <v>2489</v>
      </c>
      <c r="F640" s="8" t="s">
        <v>2490</v>
      </c>
      <c r="G640" s="6" t="s">
        <v>2491</v>
      </c>
      <c r="H640" s="6" t="s">
        <v>2492</v>
      </c>
      <c r="I640" s="6" t="s">
        <v>2392</v>
      </c>
      <c r="J640" s="6" t="s">
        <v>40</v>
      </c>
      <c r="K640" s="6"/>
      <c r="L640" s="7" t="s">
        <v>40</v>
      </c>
      <c r="M640" s="6" t="s">
        <v>76</v>
      </c>
      <c r="N640" s="6"/>
      <c r="O640" s="6">
        <f>HYPERLINK("https://docs.wto.org/imrd/directdoc.asp?DDFDocuments/t/G/TBTN23/BDI382A1.DOCX", "https://docs.wto.org/imrd/directdoc.asp?DDFDocuments/t/G/TBTN23/BDI382A1.DOCX")</f>
      </c>
      <c r="P640" s="6">
        <f>HYPERLINK("https://docs.wto.org/imrd/directdoc.asp?DDFDocuments/u/G/TBTN23/BDI382A1.DOCX", "https://docs.wto.org/imrd/directdoc.asp?DDFDocuments/u/G/TBTN23/BDI382A1.DOCX")</f>
      </c>
      <c r="Q640" s="6">
        <f>HYPERLINK("https://docs.wto.org/imrd/directdoc.asp?DDFDocuments/v/G/TBTN23/BDI382A1.DOCX", "https://docs.wto.org/imrd/directdoc.asp?DDFDocuments/v/G/TBTN23/BDI382A1.DOCX")</f>
      </c>
    </row>
    <row r="641">
      <c r="A641" s="6" t="s">
        <v>17</v>
      </c>
      <c r="B641" s="7">
        <v>45513</v>
      </c>
      <c r="C641" s="6">
        <f>HYPERLINK("https://eping.wto.org/en/Search?viewData= G/TBT/N/BDI/379/Add.1, G/TBT/N/KEN/1459/Add.1, G/TBT/N/RWA/891/Add.1, G/TBT/N/TZA/993/Add.1, G/TBT/N/UGA/1796/Add.1"," G/TBT/N/BDI/379/Add.1, G/TBT/N/KEN/1459/Add.1, G/TBT/N/RWA/891/Add.1, G/TBT/N/TZA/993/Add.1, G/TBT/N/UGA/1796/Add.1")</f>
      </c>
      <c r="D641" s="8" t="s">
        <v>2413</v>
      </c>
      <c r="E641" s="8" t="s">
        <v>2414</v>
      </c>
      <c r="F641" s="8" t="s">
        <v>2415</v>
      </c>
      <c r="G641" s="6" t="s">
        <v>2416</v>
      </c>
      <c r="H641" s="6" t="s">
        <v>2417</v>
      </c>
      <c r="I641" s="6" t="s">
        <v>2418</v>
      </c>
      <c r="J641" s="6" t="s">
        <v>40</v>
      </c>
      <c r="K641" s="6"/>
      <c r="L641" s="7" t="s">
        <v>40</v>
      </c>
      <c r="M641" s="6" t="s">
        <v>76</v>
      </c>
      <c r="N641" s="6"/>
      <c r="O641" s="6">
        <f>HYPERLINK("https://docs.wto.org/imrd/directdoc.asp?DDFDocuments/t/G/TBTN23/BDI379A1.DOCX", "https://docs.wto.org/imrd/directdoc.asp?DDFDocuments/t/G/TBTN23/BDI379A1.DOCX")</f>
      </c>
      <c r="P641" s="6">
        <f>HYPERLINK("https://docs.wto.org/imrd/directdoc.asp?DDFDocuments/u/G/TBTN23/BDI379A1.DOCX", "https://docs.wto.org/imrd/directdoc.asp?DDFDocuments/u/G/TBTN23/BDI379A1.DOCX")</f>
      </c>
      <c r="Q641" s="6">
        <f>HYPERLINK("https://docs.wto.org/imrd/directdoc.asp?DDFDocuments/v/G/TBTN23/BDI379A1.DOCX", "https://docs.wto.org/imrd/directdoc.asp?DDFDocuments/v/G/TBTN23/BDI379A1.DOCX")</f>
      </c>
    </row>
    <row r="642">
      <c r="A642" s="6" t="s">
        <v>2041</v>
      </c>
      <c r="B642" s="7">
        <v>45513</v>
      </c>
      <c r="C642" s="6">
        <f>HYPERLINK("https://eping.wto.org/en/Search?viewData= G/TBT/N/BDI/355/Add.1, G/TBT/N/KEN/1427/Add.1, G/TBT/N/RWA/863/Add.1, G/TBT/N/TZA/969/Add.1, G/TBT/N/UGA/1771/Add.1"," G/TBT/N/BDI/355/Add.1, G/TBT/N/KEN/1427/Add.1, G/TBT/N/RWA/863/Add.1, G/TBT/N/TZA/969/Add.1, G/TBT/N/UGA/1771/Add.1")</f>
      </c>
      <c r="D642" s="8" t="s">
        <v>2473</v>
      </c>
      <c r="E642" s="8" t="s">
        <v>2474</v>
      </c>
      <c r="F642" s="8" t="s">
        <v>2475</v>
      </c>
      <c r="G642" s="6" t="s">
        <v>2476</v>
      </c>
      <c r="H642" s="6" t="s">
        <v>2397</v>
      </c>
      <c r="I642" s="6" t="s">
        <v>2392</v>
      </c>
      <c r="J642" s="6" t="s">
        <v>40</v>
      </c>
      <c r="K642" s="6"/>
      <c r="L642" s="7" t="s">
        <v>40</v>
      </c>
      <c r="M642" s="6" t="s">
        <v>76</v>
      </c>
      <c r="N642" s="6"/>
      <c r="O642" s="6">
        <f>HYPERLINK("https://docs.wto.org/imrd/directdoc.asp?DDFDocuments/t/G/TBTN23/BDI355A1.DOCX", "https://docs.wto.org/imrd/directdoc.asp?DDFDocuments/t/G/TBTN23/BDI355A1.DOCX")</f>
      </c>
      <c r="P642" s="6">
        <f>HYPERLINK("https://docs.wto.org/imrd/directdoc.asp?DDFDocuments/u/G/TBTN23/BDI355A1.DOCX", "https://docs.wto.org/imrd/directdoc.asp?DDFDocuments/u/G/TBTN23/BDI355A1.DOCX")</f>
      </c>
      <c r="Q642" s="6">
        <f>HYPERLINK("https://docs.wto.org/imrd/directdoc.asp?DDFDocuments/v/G/TBTN23/BDI355A1.DOCX", "https://docs.wto.org/imrd/directdoc.asp?DDFDocuments/v/G/TBTN23/BDI355A1.DOCX")</f>
      </c>
    </row>
    <row r="643">
      <c r="A643" s="6" t="s">
        <v>2030</v>
      </c>
      <c r="B643" s="7">
        <v>45513</v>
      </c>
      <c r="C643" s="6">
        <f>HYPERLINK("https://eping.wto.org/en/Search?viewData= G/TBT/N/BDI/355/Add.1, G/TBT/N/KEN/1427/Add.1, G/TBT/N/RWA/863/Add.1, G/TBT/N/TZA/969/Add.1, G/TBT/N/UGA/1771/Add.1"," G/TBT/N/BDI/355/Add.1, G/TBT/N/KEN/1427/Add.1, G/TBT/N/RWA/863/Add.1, G/TBT/N/TZA/969/Add.1, G/TBT/N/UGA/1771/Add.1")</f>
      </c>
      <c r="D643" s="8" t="s">
        <v>2473</v>
      </c>
      <c r="E643" s="8" t="s">
        <v>2474</v>
      </c>
      <c r="F643" s="8" t="s">
        <v>2475</v>
      </c>
      <c r="G643" s="6" t="s">
        <v>2476</v>
      </c>
      <c r="H643" s="6" t="s">
        <v>2397</v>
      </c>
      <c r="I643" s="6" t="s">
        <v>2392</v>
      </c>
      <c r="J643" s="6" t="s">
        <v>40</v>
      </c>
      <c r="K643" s="6"/>
      <c r="L643" s="7" t="s">
        <v>40</v>
      </c>
      <c r="M643" s="6" t="s">
        <v>76</v>
      </c>
      <c r="N643" s="6"/>
      <c r="O643" s="6">
        <f>HYPERLINK("https://docs.wto.org/imrd/directdoc.asp?DDFDocuments/t/G/TBTN23/BDI355A1.DOCX", "https://docs.wto.org/imrd/directdoc.asp?DDFDocuments/t/G/TBTN23/BDI355A1.DOCX")</f>
      </c>
      <c r="P643" s="6">
        <f>HYPERLINK("https://docs.wto.org/imrd/directdoc.asp?DDFDocuments/u/G/TBTN23/BDI355A1.DOCX", "https://docs.wto.org/imrd/directdoc.asp?DDFDocuments/u/G/TBTN23/BDI355A1.DOCX")</f>
      </c>
      <c r="Q643" s="6">
        <f>HYPERLINK("https://docs.wto.org/imrd/directdoc.asp?DDFDocuments/v/G/TBTN23/BDI355A1.DOCX", "https://docs.wto.org/imrd/directdoc.asp?DDFDocuments/v/G/TBTN23/BDI355A1.DOCX")</f>
      </c>
    </row>
    <row r="644">
      <c r="A644" s="6" t="s">
        <v>2041</v>
      </c>
      <c r="B644" s="7">
        <v>45513</v>
      </c>
      <c r="C644" s="6">
        <f>HYPERLINK("https://eping.wto.org/en/Search?viewData= G/TBT/N/BDI/291/Add.1, G/TBT/N/KEN/1326/Add.1, G/TBT/N/RWA/728/Add.1, G/TBT/N/TZA/849/Add.1, G/TBT/N/UGA/1700/Add.1"," G/TBT/N/BDI/291/Add.1, G/TBT/N/KEN/1326/Add.1, G/TBT/N/RWA/728/Add.1, G/TBT/N/TZA/849/Add.1, G/TBT/N/UGA/1700/Add.1")</f>
      </c>
      <c r="D644" s="8" t="s">
        <v>2438</v>
      </c>
      <c r="E644" s="8" t="s">
        <v>2439</v>
      </c>
      <c r="F644" s="8" t="s">
        <v>2440</v>
      </c>
      <c r="G644" s="6" t="s">
        <v>2441</v>
      </c>
      <c r="H644" s="6" t="s">
        <v>2402</v>
      </c>
      <c r="I644" s="6" t="s">
        <v>2456</v>
      </c>
      <c r="J644" s="6" t="s">
        <v>122</v>
      </c>
      <c r="K644" s="6"/>
      <c r="L644" s="7" t="s">
        <v>40</v>
      </c>
      <c r="M644" s="6" t="s">
        <v>76</v>
      </c>
      <c r="N644" s="6"/>
      <c r="O644" s="6">
        <f>HYPERLINK("https://docs.wto.org/imrd/directdoc.asp?DDFDocuments/t/G/TBTN22/BDI291A1.DOCX", "https://docs.wto.org/imrd/directdoc.asp?DDFDocuments/t/G/TBTN22/BDI291A1.DOCX")</f>
      </c>
      <c r="P644" s="6">
        <f>HYPERLINK("https://docs.wto.org/imrd/directdoc.asp?DDFDocuments/u/G/TBTN22/BDI291A1.DOCX", "https://docs.wto.org/imrd/directdoc.asp?DDFDocuments/u/G/TBTN22/BDI291A1.DOCX")</f>
      </c>
      <c r="Q644" s="6">
        <f>HYPERLINK("https://docs.wto.org/imrd/directdoc.asp?DDFDocuments/v/G/TBTN22/BDI291A1.DOCX", "https://docs.wto.org/imrd/directdoc.asp?DDFDocuments/v/G/TBTN22/BDI291A1.DOCX")</f>
      </c>
    </row>
    <row r="645">
      <c r="A645" s="6" t="s">
        <v>1688</v>
      </c>
      <c r="B645" s="7">
        <v>45513</v>
      </c>
      <c r="C645" s="6">
        <f>HYPERLINK("https://eping.wto.org/en/Search?viewData= G/TBT/N/THA/748"," G/TBT/N/THA/748")</f>
      </c>
      <c r="D645" s="8" t="s">
        <v>1744</v>
      </c>
      <c r="E645" s="8" t="s">
        <v>2510</v>
      </c>
      <c r="F645" s="8" t="s">
        <v>2511</v>
      </c>
      <c r="G645" s="6" t="s">
        <v>40</v>
      </c>
      <c r="H645" s="6" t="s">
        <v>31</v>
      </c>
      <c r="I645" s="6" t="s">
        <v>134</v>
      </c>
      <c r="J645" s="6" t="s">
        <v>24</v>
      </c>
      <c r="K645" s="6"/>
      <c r="L645" s="7">
        <v>45573</v>
      </c>
      <c r="M645" s="6" t="s">
        <v>25</v>
      </c>
      <c r="N645" s="8" t="s">
        <v>2512</v>
      </c>
      <c r="O645" s="6">
        <f>HYPERLINK("https://docs.wto.org/imrd/directdoc.asp?DDFDocuments/t/G/TBTN24/THA748.DOCX", "https://docs.wto.org/imrd/directdoc.asp?DDFDocuments/t/G/TBTN24/THA748.DOCX")</f>
      </c>
      <c r="P645" s="6">
        <f>HYPERLINK("https://docs.wto.org/imrd/directdoc.asp?DDFDocuments/u/G/TBTN24/THA748.DOCX", "https://docs.wto.org/imrd/directdoc.asp?DDFDocuments/u/G/TBTN24/THA748.DOCX")</f>
      </c>
      <c r="Q645" s="6">
        <f>HYPERLINK("https://docs.wto.org/imrd/directdoc.asp?DDFDocuments/v/G/TBTN24/THA748.DOCX", "https://docs.wto.org/imrd/directdoc.asp?DDFDocuments/v/G/TBTN24/THA748.DOCX")</f>
      </c>
    </row>
    <row r="646">
      <c r="A646" s="6" t="s">
        <v>880</v>
      </c>
      <c r="B646" s="7">
        <v>45513</v>
      </c>
      <c r="C646" s="6">
        <f>HYPERLINK("https://eping.wto.org/en/Search?viewData= G/TBT/N/BDI/379/Add.1, G/TBT/N/KEN/1459/Add.1, G/TBT/N/RWA/891/Add.1, G/TBT/N/TZA/993/Add.1, G/TBT/N/UGA/1796/Add.1"," G/TBT/N/BDI/379/Add.1, G/TBT/N/KEN/1459/Add.1, G/TBT/N/RWA/891/Add.1, G/TBT/N/TZA/993/Add.1, G/TBT/N/UGA/1796/Add.1")</f>
      </c>
      <c r="D646" s="8" t="s">
        <v>2413</v>
      </c>
      <c r="E646" s="8" t="s">
        <v>2414</v>
      </c>
      <c r="F646" s="8" t="s">
        <v>2415</v>
      </c>
      <c r="G646" s="6" t="s">
        <v>2416</v>
      </c>
      <c r="H646" s="6" t="s">
        <v>2417</v>
      </c>
      <c r="I646" s="6" t="s">
        <v>2513</v>
      </c>
      <c r="J646" s="6" t="s">
        <v>40</v>
      </c>
      <c r="K646" s="6"/>
      <c r="L646" s="7" t="s">
        <v>40</v>
      </c>
      <c r="M646" s="6" t="s">
        <v>76</v>
      </c>
      <c r="N646" s="6"/>
      <c r="O646" s="6">
        <f>HYPERLINK("https://docs.wto.org/imrd/directdoc.asp?DDFDocuments/t/G/TBTN23/BDI379A1.DOCX", "https://docs.wto.org/imrd/directdoc.asp?DDFDocuments/t/G/TBTN23/BDI379A1.DOCX")</f>
      </c>
      <c r="P646" s="6">
        <f>HYPERLINK("https://docs.wto.org/imrd/directdoc.asp?DDFDocuments/u/G/TBTN23/BDI379A1.DOCX", "https://docs.wto.org/imrd/directdoc.asp?DDFDocuments/u/G/TBTN23/BDI379A1.DOCX")</f>
      </c>
      <c r="Q646" s="6">
        <f>HYPERLINK("https://docs.wto.org/imrd/directdoc.asp?DDFDocuments/v/G/TBTN23/BDI379A1.DOCX", "https://docs.wto.org/imrd/directdoc.asp?DDFDocuments/v/G/TBTN23/BDI379A1.DOCX")</f>
      </c>
    </row>
    <row r="647">
      <c r="A647" s="6" t="s">
        <v>880</v>
      </c>
      <c r="B647" s="7">
        <v>45513</v>
      </c>
      <c r="C647" s="6">
        <f>HYPERLINK("https://eping.wto.org/en/Search?viewData= G/TBT/N/BDI/353/Add.1, G/TBT/N/KEN/1425/Add.1, G/TBT/N/RWA/861/Add.1, G/TBT/N/TZA/967/Add.1, G/TBT/N/UGA/1769/Add.1"," G/TBT/N/BDI/353/Add.1, G/TBT/N/KEN/1425/Add.1, G/TBT/N/RWA/861/Add.1, G/TBT/N/TZA/967/Add.1, G/TBT/N/UGA/1769/Add.1")</f>
      </c>
      <c r="D647" s="8" t="s">
        <v>2393</v>
      </c>
      <c r="E647" s="8" t="s">
        <v>2394</v>
      </c>
      <c r="F647" s="8" t="s">
        <v>2395</v>
      </c>
      <c r="G647" s="6" t="s">
        <v>2396</v>
      </c>
      <c r="H647" s="6" t="s">
        <v>2397</v>
      </c>
      <c r="I647" s="6" t="s">
        <v>2153</v>
      </c>
      <c r="J647" s="6" t="s">
        <v>40</v>
      </c>
      <c r="K647" s="6"/>
      <c r="L647" s="7" t="s">
        <v>40</v>
      </c>
      <c r="M647" s="6" t="s">
        <v>76</v>
      </c>
      <c r="N647" s="6"/>
      <c r="O647" s="6">
        <f>HYPERLINK("https://docs.wto.org/imrd/directdoc.asp?DDFDocuments/t/G/TBTN23/BDI353A1.DOCX", "https://docs.wto.org/imrd/directdoc.asp?DDFDocuments/t/G/TBTN23/BDI353A1.DOCX")</f>
      </c>
      <c r="P647" s="6">
        <f>HYPERLINK("https://docs.wto.org/imrd/directdoc.asp?DDFDocuments/u/G/TBTN23/BDI353A1.DOCX", "https://docs.wto.org/imrd/directdoc.asp?DDFDocuments/u/G/TBTN23/BDI353A1.DOCX")</f>
      </c>
      <c r="Q647" s="6">
        <f>HYPERLINK("https://docs.wto.org/imrd/directdoc.asp?DDFDocuments/v/G/TBTN23/BDI353A1.DOCX", "https://docs.wto.org/imrd/directdoc.asp?DDFDocuments/v/G/TBTN23/BDI353A1.DOCX")</f>
      </c>
    </row>
    <row r="648">
      <c r="A648" s="6" t="s">
        <v>880</v>
      </c>
      <c r="B648" s="7">
        <v>45513</v>
      </c>
      <c r="C648" s="6">
        <f>HYPERLINK("https://eping.wto.org/en/Search?viewData= G/TBT/N/BDI/293/Add.1, G/TBT/N/KEN/1328/Add.1, G/TBT/N/RWA/730/Add.1, G/TBT/N/TZA/851/Add.1, G/TBT/N/UGA/1702/Add.1"," G/TBT/N/BDI/293/Add.1, G/TBT/N/KEN/1328/Add.1, G/TBT/N/RWA/730/Add.1, G/TBT/N/TZA/851/Add.1, G/TBT/N/UGA/1702/Add.1")</f>
      </c>
      <c r="D648" s="8" t="s">
        <v>2419</v>
      </c>
      <c r="E648" s="8" t="s">
        <v>2420</v>
      </c>
      <c r="F648" s="8" t="s">
        <v>2421</v>
      </c>
      <c r="G648" s="6" t="s">
        <v>2422</v>
      </c>
      <c r="H648" s="6" t="s">
        <v>2402</v>
      </c>
      <c r="I648" s="6" t="s">
        <v>2121</v>
      </c>
      <c r="J648" s="6" t="s">
        <v>122</v>
      </c>
      <c r="K648" s="6"/>
      <c r="L648" s="7" t="s">
        <v>40</v>
      </c>
      <c r="M648" s="6" t="s">
        <v>76</v>
      </c>
      <c r="N648" s="6"/>
      <c r="O648" s="6">
        <f>HYPERLINK("https://docs.wto.org/imrd/directdoc.asp?DDFDocuments/t/G/TBTN22/BDI293A1.DOCX", "https://docs.wto.org/imrd/directdoc.asp?DDFDocuments/t/G/TBTN22/BDI293A1.DOCX")</f>
      </c>
      <c r="P648" s="6">
        <f>HYPERLINK("https://docs.wto.org/imrd/directdoc.asp?DDFDocuments/u/G/TBTN22/BDI293A1.DOCX", "https://docs.wto.org/imrd/directdoc.asp?DDFDocuments/u/G/TBTN22/BDI293A1.DOCX")</f>
      </c>
      <c r="Q648" s="6">
        <f>HYPERLINK("https://docs.wto.org/imrd/directdoc.asp?DDFDocuments/v/G/TBTN22/BDI293A1.DOCX", "https://docs.wto.org/imrd/directdoc.asp?DDFDocuments/v/G/TBTN22/BDI293A1.DOCX")</f>
      </c>
    </row>
    <row r="649">
      <c r="A649" s="6" t="s">
        <v>2024</v>
      </c>
      <c r="B649" s="7">
        <v>45513</v>
      </c>
      <c r="C649" s="6">
        <f>HYPERLINK("https://eping.wto.org/en/Search?viewData= G/TBT/N/BDI/378/Add.1, G/TBT/N/KEN/1458/Add.1, G/TBT/N/RWA/890/Add.1, G/TBT/N/TZA/992/Add.1, G/TBT/N/UGA/1795/Add.1"," G/TBT/N/BDI/378/Add.1, G/TBT/N/KEN/1458/Add.1, G/TBT/N/RWA/890/Add.1, G/TBT/N/TZA/992/Add.1, G/TBT/N/UGA/1795/Add.1")</f>
      </c>
      <c r="D649" s="8" t="s">
        <v>2505</v>
      </c>
      <c r="E649" s="8" t="s">
        <v>2506</v>
      </c>
      <c r="F649" s="8" t="s">
        <v>2507</v>
      </c>
      <c r="G649" s="6" t="s">
        <v>2508</v>
      </c>
      <c r="H649" s="6" t="s">
        <v>2509</v>
      </c>
      <c r="I649" s="6" t="s">
        <v>2153</v>
      </c>
      <c r="J649" s="6" t="s">
        <v>40</v>
      </c>
      <c r="K649" s="6"/>
      <c r="L649" s="7" t="s">
        <v>40</v>
      </c>
      <c r="M649" s="6" t="s">
        <v>76</v>
      </c>
      <c r="N649" s="6"/>
      <c r="O649" s="6">
        <f>HYPERLINK("https://docs.wto.org/imrd/directdoc.asp?DDFDocuments/t/G/TBTN23/BDI378A1.DOCX", "https://docs.wto.org/imrd/directdoc.asp?DDFDocuments/t/G/TBTN23/BDI378A1.DOCX")</f>
      </c>
      <c r="P649" s="6">
        <f>HYPERLINK("https://docs.wto.org/imrd/directdoc.asp?DDFDocuments/u/G/TBTN23/BDI378A1.DOCX", "https://docs.wto.org/imrd/directdoc.asp?DDFDocuments/u/G/TBTN23/BDI378A1.DOCX")</f>
      </c>
      <c r="Q649" s="6">
        <f>HYPERLINK("https://docs.wto.org/imrd/directdoc.asp?DDFDocuments/v/G/TBTN23/BDI378A1.DOCX", "https://docs.wto.org/imrd/directdoc.asp?DDFDocuments/v/G/TBTN23/BDI378A1.DOCX")</f>
      </c>
    </row>
    <row r="650">
      <c r="A650" s="6" t="s">
        <v>17</v>
      </c>
      <c r="B650" s="7">
        <v>45513</v>
      </c>
      <c r="C650" s="6">
        <f>HYPERLINK("https://eping.wto.org/en/Search?viewData= G/TBT/N/BDI/382/Add.1, G/TBT/N/KEN/1462/Add.1, G/TBT/N/RWA/894/Add.1, G/TBT/N/TZA/996/Add.1, G/TBT/N/UGA/1799/Add.1"," G/TBT/N/BDI/382/Add.1, G/TBT/N/KEN/1462/Add.1, G/TBT/N/RWA/894/Add.1, G/TBT/N/TZA/996/Add.1, G/TBT/N/UGA/1799/Add.1")</f>
      </c>
      <c r="D650" s="8" t="s">
        <v>2488</v>
      </c>
      <c r="E650" s="8" t="s">
        <v>2489</v>
      </c>
      <c r="F650" s="8" t="s">
        <v>2490</v>
      </c>
      <c r="G650" s="6" t="s">
        <v>2491</v>
      </c>
      <c r="H650" s="6" t="s">
        <v>2492</v>
      </c>
      <c r="I650" s="6" t="s">
        <v>2392</v>
      </c>
      <c r="J650" s="6" t="s">
        <v>40</v>
      </c>
      <c r="K650" s="6"/>
      <c r="L650" s="7" t="s">
        <v>40</v>
      </c>
      <c r="M650" s="6" t="s">
        <v>76</v>
      </c>
      <c r="N650" s="6"/>
      <c r="O650" s="6">
        <f>HYPERLINK("https://docs.wto.org/imrd/directdoc.asp?DDFDocuments/t/G/TBTN23/BDI382A1.DOCX", "https://docs.wto.org/imrd/directdoc.asp?DDFDocuments/t/G/TBTN23/BDI382A1.DOCX")</f>
      </c>
      <c r="P650" s="6">
        <f>HYPERLINK("https://docs.wto.org/imrd/directdoc.asp?DDFDocuments/u/G/TBTN23/BDI382A1.DOCX", "https://docs.wto.org/imrd/directdoc.asp?DDFDocuments/u/G/TBTN23/BDI382A1.DOCX")</f>
      </c>
      <c r="Q650" s="6">
        <f>HYPERLINK("https://docs.wto.org/imrd/directdoc.asp?DDFDocuments/v/G/TBTN23/BDI382A1.DOCX", "https://docs.wto.org/imrd/directdoc.asp?DDFDocuments/v/G/TBTN23/BDI382A1.DOCX")</f>
      </c>
    </row>
    <row r="651">
      <c r="A651" s="6" t="s">
        <v>17</v>
      </c>
      <c r="B651" s="7">
        <v>45513</v>
      </c>
      <c r="C651" s="6">
        <f>HYPERLINK("https://eping.wto.org/en/Search?viewData= G/TBT/N/BDI/291/Add.1, G/TBT/N/KEN/1326/Add.1, G/TBT/N/RWA/728/Add.1, G/TBT/N/TZA/849/Add.1, G/TBT/N/UGA/1700/Add.1"," G/TBT/N/BDI/291/Add.1, G/TBT/N/KEN/1326/Add.1, G/TBT/N/RWA/728/Add.1, G/TBT/N/TZA/849/Add.1, G/TBT/N/UGA/1700/Add.1")</f>
      </c>
      <c r="D651" s="8" t="s">
        <v>2438</v>
      </c>
      <c r="E651" s="8" t="s">
        <v>2439</v>
      </c>
      <c r="F651" s="8" t="s">
        <v>2440</v>
      </c>
      <c r="G651" s="6" t="s">
        <v>2441</v>
      </c>
      <c r="H651" s="6" t="s">
        <v>2402</v>
      </c>
      <c r="I651" s="6" t="s">
        <v>2456</v>
      </c>
      <c r="J651" s="6" t="s">
        <v>122</v>
      </c>
      <c r="K651" s="6"/>
      <c r="L651" s="7" t="s">
        <v>40</v>
      </c>
      <c r="M651" s="6" t="s">
        <v>76</v>
      </c>
      <c r="N651" s="6"/>
      <c r="O651" s="6">
        <f>HYPERLINK("https://docs.wto.org/imrd/directdoc.asp?DDFDocuments/t/G/TBTN22/BDI291A1.DOCX", "https://docs.wto.org/imrd/directdoc.asp?DDFDocuments/t/G/TBTN22/BDI291A1.DOCX")</f>
      </c>
      <c r="P651" s="6">
        <f>HYPERLINK("https://docs.wto.org/imrd/directdoc.asp?DDFDocuments/u/G/TBTN22/BDI291A1.DOCX", "https://docs.wto.org/imrd/directdoc.asp?DDFDocuments/u/G/TBTN22/BDI291A1.DOCX")</f>
      </c>
      <c r="Q651" s="6">
        <f>HYPERLINK("https://docs.wto.org/imrd/directdoc.asp?DDFDocuments/v/G/TBTN22/BDI291A1.DOCX", "https://docs.wto.org/imrd/directdoc.asp?DDFDocuments/v/G/TBTN22/BDI291A1.DOCX")</f>
      </c>
    </row>
    <row r="652">
      <c r="A652" s="6" t="s">
        <v>2030</v>
      </c>
      <c r="B652" s="7">
        <v>45513</v>
      </c>
      <c r="C652" s="6">
        <f>HYPERLINK("https://eping.wto.org/en/Search?viewData= G/TBT/N/BDI/291/Add.1, G/TBT/N/KEN/1326/Add.1, G/TBT/N/RWA/728/Add.1, G/TBT/N/TZA/849/Add.1, G/TBT/N/UGA/1700/Add.1"," G/TBT/N/BDI/291/Add.1, G/TBT/N/KEN/1326/Add.1, G/TBT/N/RWA/728/Add.1, G/TBT/N/TZA/849/Add.1, G/TBT/N/UGA/1700/Add.1")</f>
      </c>
      <c r="D652" s="8" t="s">
        <v>2438</v>
      </c>
      <c r="E652" s="8" t="s">
        <v>2439</v>
      </c>
      <c r="F652" s="8" t="s">
        <v>2440</v>
      </c>
      <c r="G652" s="6" t="s">
        <v>2441</v>
      </c>
      <c r="H652" s="6" t="s">
        <v>2402</v>
      </c>
      <c r="I652" s="6" t="s">
        <v>2456</v>
      </c>
      <c r="J652" s="6" t="s">
        <v>122</v>
      </c>
      <c r="K652" s="6"/>
      <c r="L652" s="7" t="s">
        <v>40</v>
      </c>
      <c r="M652" s="6" t="s">
        <v>76</v>
      </c>
      <c r="N652" s="6"/>
      <c r="O652" s="6">
        <f>HYPERLINK("https://docs.wto.org/imrd/directdoc.asp?DDFDocuments/t/G/TBTN22/BDI291A1.DOCX", "https://docs.wto.org/imrd/directdoc.asp?DDFDocuments/t/G/TBTN22/BDI291A1.DOCX")</f>
      </c>
      <c r="P652" s="6">
        <f>HYPERLINK("https://docs.wto.org/imrd/directdoc.asp?DDFDocuments/u/G/TBTN22/BDI291A1.DOCX", "https://docs.wto.org/imrd/directdoc.asp?DDFDocuments/u/G/TBTN22/BDI291A1.DOCX")</f>
      </c>
      <c r="Q652" s="6">
        <f>HYPERLINK("https://docs.wto.org/imrd/directdoc.asp?DDFDocuments/v/G/TBTN22/BDI291A1.DOCX", "https://docs.wto.org/imrd/directdoc.asp?DDFDocuments/v/G/TBTN22/BDI291A1.DOCX")</f>
      </c>
    </row>
    <row r="653">
      <c r="A653" s="6" t="s">
        <v>2024</v>
      </c>
      <c r="B653" s="7">
        <v>45513</v>
      </c>
      <c r="C653" s="6">
        <f>HYPERLINK("https://eping.wto.org/en/Search?viewData= G/TBT/N/BDI/354/Add.1, G/TBT/N/KEN/1426/Add.1, G/TBT/N/RWA/862/Add.1, G/TBT/N/TZA/968/Add.1, G/TBT/N/UGA/1770/Add.1"," G/TBT/N/BDI/354/Add.1, G/TBT/N/KEN/1426/Add.1, G/TBT/N/RWA/862/Add.1, G/TBT/N/TZA/968/Add.1, G/TBT/N/UGA/1770/Add.1")</f>
      </c>
      <c r="D653" s="8" t="s">
        <v>2411</v>
      </c>
      <c r="E653" s="8" t="s">
        <v>2412</v>
      </c>
      <c r="F653" s="8" t="s">
        <v>2395</v>
      </c>
      <c r="G653" s="6" t="s">
        <v>2396</v>
      </c>
      <c r="H653" s="6" t="s">
        <v>2397</v>
      </c>
      <c r="I653" s="6" t="s">
        <v>2392</v>
      </c>
      <c r="J653" s="6" t="s">
        <v>40</v>
      </c>
      <c r="K653" s="6"/>
      <c r="L653" s="7" t="s">
        <v>40</v>
      </c>
      <c r="M653" s="6" t="s">
        <v>76</v>
      </c>
      <c r="N653" s="6"/>
      <c r="O653" s="6">
        <f>HYPERLINK("https://docs.wto.org/imrd/directdoc.asp?DDFDocuments/t/G/TBTN23/BDI354A1.DOCX", "https://docs.wto.org/imrd/directdoc.asp?DDFDocuments/t/G/TBTN23/BDI354A1.DOCX")</f>
      </c>
      <c r="P653" s="6">
        <f>HYPERLINK("https://docs.wto.org/imrd/directdoc.asp?DDFDocuments/u/G/TBTN23/BDI354A1.DOCX", "https://docs.wto.org/imrd/directdoc.asp?DDFDocuments/u/G/TBTN23/BDI354A1.DOCX")</f>
      </c>
      <c r="Q653" s="6">
        <f>HYPERLINK("https://docs.wto.org/imrd/directdoc.asp?DDFDocuments/v/G/TBTN23/BDI354A1.DOCX", "https://docs.wto.org/imrd/directdoc.asp?DDFDocuments/v/G/TBTN23/BDI354A1.DOCX")</f>
      </c>
    </row>
    <row r="654">
      <c r="A654" s="6" t="s">
        <v>160</v>
      </c>
      <c r="B654" s="7">
        <v>45513</v>
      </c>
      <c r="C654" s="6">
        <f>HYPERLINK("https://eping.wto.org/en/Search?viewData= G/SPS/N/USA/3452/Add.1"," G/SPS/N/USA/3452/Add.1")</f>
      </c>
      <c r="D654" s="8" t="s">
        <v>2514</v>
      </c>
      <c r="E654" s="8" t="s">
        <v>2515</v>
      </c>
      <c r="F654" s="8" t="s">
        <v>2516</v>
      </c>
      <c r="G654" s="6" t="s">
        <v>2517</v>
      </c>
      <c r="H654" s="6" t="s">
        <v>1179</v>
      </c>
      <c r="I654" s="6" t="s">
        <v>2312</v>
      </c>
      <c r="J654" s="6" t="s">
        <v>2518</v>
      </c>
      <c r="K654" s="6"/>
      <c r="L654" s="7" t="s">
        <v>40</v>
      </c>
      <c r="M654" s="6" t="s">
        <v>76</v>
      </c>
      <c r="N654" s="8" t="s">
        <v>2519</v>
      </c>
      <c r="O654" s="6">
        <f>HYPERLINK("https://docs.wto.org/imrd/directdoc.asp?DDFDocuments/t/G/SPS/NUSA3452A1.DOCX", "https://docs.wto.org/imrd/directdoc.asp?DDFDocuments/t/G/SPS/NUSA3452A1.DOCX")</f>
      </c>
      <c r="P654" s="6">
        <f>HYPERLINK("https://docs.wto.org/imrd/directdoc.asp?DDFDocuments/u/G/SPS/NUSA3452A1.DOCX", "https://docs.wto.org/imrd/directdoc.asp?DDFDocuments/u/G/SPS/NUSA3452A1.DOCX")</f>
      </c>
      <c r="Q654" s="6">
        <f>HYPERLINK("https://docs.wto.org/imrd/directdoc.asp?DDFDocuments/v/G/SPS/NUSA3452A1.DOCX", "https://docs.wto.org/imrd/directdoc.asp?DDFDocuments/v/G/SPS/NUSA3452A1.DOCX")</f>
      </c>
    </row>
    <row r="655">
      <c r="A655" s="6" t="s">
        <v>880</v>
      </c>
      <c r="B655" s="7">
        <v>45513</v>
      </c>
      <c r="C655" s="6">
        <f>HYPERLINK("https://eping.wto.org/en/Search?viewData= G/TBT/N/BDI/378/Add.1, G/TBT/N/KEN/1458/Add.1, G/TBT/N/RWA/890/Add.1, G/TBT/N/TZA/992/Add.1, G/TBT/N/UGA/1795/Add.1"," G/TBT/N/BDI/378/Add.1, G/TBT/N/KEN/1458/Add.1, G/TBT/N/RWA/890/Add.1, G/TBT/N/TZA/992/Add.1, G/TBT/N/UGA/1795/Add.1")</f>
      </c>
      <c r="D655" s="8" t="s">
        <v>2505</v>
      </c>
      <c r="E655" s="8" t="s">
        <v>2506</v>
      </c>
      <c r="F655" s="8" t="s">
        <v>2507</v>
      </c>
      <c r="G655" s="6" t="s">
        <v>2508</v>
      </c>
      <c r="H655" s="6" t="s">
        <v>2509</v>
      </c>
      <c r="I655" s="6" t="s">
        <v>2153</v>
      </c>
      <c r="J655" s="6" t="s">
        <v>40</v>
      </c>
      <c r="K655" s="6"/>
      <c r="L655" s="7" t="s">
        <v>40</v>
      </c>
      <c r="M655" s="6" t="s">
        <v>76</v>
      </c>
      <c r="N655" s="6"/>
      <c r="O655" s="6">
        <f>HYPERLINK("https://docs.wto.org/imrd/directdoc.asp?DDFDocuments/t/G/TBTN23/BDI378A1.DOCX", "https://docs.wto.org/imrd/directdoc.asp?DDFDocuments/t/G/TBTN23/BDI378A1.DOCX")</f>
      </c>
      <c r="P655" s="6">
        <f>HYPERLINK("https://docs.wto.org/imrd/directdoc.asp?DDFDocuments/u/G/TBTN23/BDI378A1.DOCX", "https://docs.wto.org/imrd/directdoc.asp?DDFDocuments/u/G/TBTN23/BDI378A1.DOCX")</f>
      </c>
      <c r="Q655" s="6">
        <f>HYPERLINK("https://docs.wto.org/imrd/directdoc.asp?DDFDocuments/v/G/TBTN23/BDI378A1.DOCX", "https://docs.wto.org/imrd/directdoc.asp?DDFDocuments/v/G/TBTN23/BDI378A1.DOCX")</f>
      </c>
    </row>
    <row r="656">
      <c r="A656" s="6" t="s">
        <v>307</v>
      </c>
      <c r="B656" s="7">
        <v>45513</v>
      </c>
      <c r="C656" s="6">
        <f>HYPERLINK("https://eping.wto.org/en/Search?viewData= G/TBT/N/CAN/717/Add.1"," G/TBT/N/CAN/717/Add.1")</f>
      </c>
      <c r="D656" s="8" t="s">
        <v>2520</v>
      </c>
      <c r="E656" s="8" t="s">
        <v>2521</v>
      </c>
      <c r="F656" s="8" t="s">
        <v>1603</v>
      </c>
      <c r="G656" s="6" t="s">
        <v>40</v>
      </c>
      <c r="H656" s="6" t="s">
        <v>1604</v>
      </c>
      <c r="I656" s="6" t="s">
        <v>142</v>
      </c>
      <c r="J656" s="6" t="s">
        <v>40</v>
      </c>
      <c r="K656" s="6"/>
      <c r="L656" s="7" t="s">
        <v>40</v>
      </c>
      <c r="M656" s="6" t="s">
        <v>76</v>
      </c>
      <c r="N656" s="6"/>
      <c r="O656" s="6">
        <f>HYPERLINK("https://docs.wto.org/imrd/directdoc.asp?DDFDocuments/t/G/TBTN24/CAN717A1.DOCX", "https://docs.wto.org/imrd/directdoc.asp?DDFDocuments/t/G/TBTN24/CAN717A1.DOCX")</f>
      </c>
      <c r="P656" s="6">
        <f>HYPERLINK("https://docs.wto.org/imrd/directdoc.asp?DDFDocuments/u/G/TBTN24/CAN717A1.DOCX", "https://docs.wto.org/imrd/directdoc.asp?DDFDocuments/u/G/TBTN24/CAN717A1.DOCX")</f>
      </c>
      <c r="Q656" s="6">
        <f>HYPERLINK("https://docs.wto.org/imrd/directdoc.asp?DDFDocuments/v/G/TBTN24/CAN717A1.DOCX", "https://docs.wto.org/imrd/directdoc.asp?DDFDocuments/v/G/TBTN24/CAN717A1.DOCX")</f>
      </c>
    </row>
    <row r="657">
      <c r="A657" s="6" t="s">
        <v>2030</v>
      </c>
      <c r="B657" s="7">
        <v>45513</v>
      </c>
      <c r="C657" s="6">
        <f>HYPERLINK("https://eping.wto.org/en/Search?viewData= G/TBT/N/UGA/1969"," G/TBT/N/UGA/1969")</f>
      </c>
      <c r="D657" s="8" t="s">
        <v>2522</v>
      </c>
      <c r="E657" s="8" t="s">
        <v>2523</v>
      </c>
      <c r="F657" s="8" t="s">
        <v>2524</v>
      </c>
      <c r="G657" s="6" t="s">
        <v>2525</v>
      </c>
      <c r="H657" s="6" t="s">
        <v>1972</v>
      </c>
      <c r="I657" s="6" t="s">
        <v>81</v>
      </c>
      <c r="J657" s="6" t="s">
        <v>24</v>
      </c>
      <c r="K657" s="6"/>
      <c r="L657" s="7">
        <v>45573</v>
      </c>
      <c r="M657" s="6" t="s">
        <v>25</v>
      </c>
      <c r="N657" s="8" t="s">
        <v>2526</v>
      </c>
      <c r="O657" s="6">
        <f>HYPERLINK("https://docs.wto.org/imrd/directdoc.asp?DDFDocuments/t/G/TBTN24/UGA1969.DOCX", "https://docs.wto.org/imrd/directdoc.asp?DDFDocuments/t/G/TBTN24/UGA1969.DOCX")</f>
      </c>
      <c r="P657" s="6">
        <f>HYPERLINK("https://docs.wto.org/imrd/directdoc.asp?DDFDocuments/u/G/TBTN24/UGA1969.DOCX", "https://docs.wto.org/imrd/directdoc.asp?DDFDocuments/u/G/TBTN24/UGA1969.DOCX")</f>
      </c>
      <c r="Q657" s="6">
        <f>HYPERLINK("https://docs.wto.org/imrd/directdoc.asp?DDFDocuments/v/G/TBTN24/UGA1969.DOCX", "https://docs.wto.org/imrd/directdoc.asp?DDFDocuments/v/G/TBTN24/UGA1969.DOCX")</f>
      </c>
    </row>
    <row r="658">
      <c r="A658" s="6" t="s">
        <v>880</v>
      </c>
      <c r="B658" s="7">
        <v>45513</v>
      </c>
      <c r="C658" s="6">
        <f>HYPERLINK("https://eping.wto.org/en/Search?viewData= G/TBT/N/BDI/354/Add.1, G/TBT/N/KEN/1426/Add.1, G/TBT/N/RWA/862/Add.1, G/TBT/N/TZA/968/Add.1, G/TBT/N/UGA/1770/Add.1"," G/TBT/N/BDI/354/Add.1, G/TBT/N/KEN/1426/Add.1, G/TBT/N/RWA/862/Add.1, G/TBT/N/TZA/968/Add.1, G/TBT/N/UGA/1770/Add.1")</f>
      </c>
      <c r="D658" s="8" t="s">
        <v>2411</v>
      </c>
      <c r="E658" s="8" t="s">
        <v>2412</v>
      </c>
      <c r="F658" s="8" t="s">
        <v>2395</v>
      </c>
      <c r="G658" s="6" t="s">
        <v>2396</v>
      </c>
      <c r="H658" s="6" t="s">
        <v>2397</v>
      </c>
      <c r="I658" s="6" t="s">
        <v>2153</v>
      </c>
      <c r="J658" s="6" t="s">
        <v>40</v>
      </c>
      <c r="K658" s="6"/>
      <c r="L658" s="7" t="s">
        <v>40</v>
      </c>
      <c r="M658" s="6" t="s">
        <v>76</v>
      </c>
      <c r="N658" s="6"/>
      <c r="O658" s="6">
        <f>HYPERLINK("https://docs.wto.org/imrd/directdoc.asp?DDFDocuments/t/G/TBTN23/BDI354A1.DOCX", "https://docs.wto.org/imrd/directdoc.asp?DDFDocuments/t/G/TBTN23/BDI354A1.DOCX")</f>
      </c>
      <c r="P658" s="6">
        <f>HYPERLINK("https://docs.wto.org/imrd/directdoc.asp?DDFDocuments/u/G/TBTN23/BDI354A1.DOCX", "https://docs.wto.org/imrd/directdoc.asp?DDFDocuments/u/G/TBTN23/BDI354A1.DOCX")</f>
      </c>
      <c r="Q658" s="6">
        <f>HYPERLINK("https://docs.wto.org/imrd/directdoc.asp?DDFDocuments/v/G/TBTN23/BDI354A1.DOCX", "https://docs.wto.org/imrd/directdoc.asp?DDFDocuments/v/G/TBTN23/BDI354A1.DOCX")</f>
      </c>
    </row>
    <row r="659">
      <c r="A659" s="6" t="s">
        <v>880</v>
      </c>
      <c r="B659" s="7">
        <v>45513</v>
      </c>
      <c r="C659" s="6">
        <f>HYPERLINK("https://eping.wto.org/en/Search?viewData= G/TBT/N/BDI/355/Add.1, G/TBT/N/KEN/1427/Add.1, G/TBT/N/RWA/863/Add.1, G/TBT/N/TZA/969/Add.1, G/TBT/N/UGA/1771/Add.1"," G/TBT/N/BDI/355/Add.1, G/TBT/N/KEN/1427/Add.1, G/TBT/N/RWA/863/Add.1, G/TBT/N/TZA/969/Add.1, G/TBT/N/UGA/1771/Add.1")</f>
      </c>
      <c r="D659" s="8" t="s">
        <v>2473</v>
      </c>
      <c r="E659" s="8" t="s">
        <v>2474</v>
      </c>
      <c r="F659" s="8" t="s">
        <v>2475</v>
      </c>
      <c r="G659" s="6" t="s">
        <v>2476</v>
      </c>
      <c r="H659" s="6" t="s">
        <v>2397</v>
      </c>
      <c r="I659" s="6" t="s">
        <v>2153</v>
      </c>
      <c r="J659" s="6" t="s">
        <v>40</v>
      </c>
      <c r="K659" s="6"/>
      <c r="L659" s="7" t="s">
        <v>40</v>
      </c>
      <c r="M659" s="6" t="s">
        <v>76</v>
      </c>
      <c r="N659" s="6"/>
      <c r="O659" s="6">
        <f>HYPERLINK("https://docs.wto.org/imrd/directdoc.asp?DDFDocuments/t/G/TBTN23/BDI355A1.DOCX", "https://docs.wto.org/imrd/directdoc.asp?DDFDocuments/t/G/TBTN23/BDI355A1.DOCX")</f>
      </c>
      <c r="P659" s="6">
        <f>HYPERLINK("https://docs.wto.org/imrd/directdoc.asp?DDFDocuments/u/G/TBTN23/BDI355A1.DOCX", "https://docs.wto.org/imrd/directdoc.asp?DDFDocuments/u/G/TBTN23/BDI355A1.DOCX")</f>
      </c>
      <c r="Q659" s="6">
        <f>HYPERLINK("https://docs.wto.org/imrd/directdoc.asp?DDFDocuments/v/G/TBTN23/BDI355A1.DOCX", "https://docs.wto.org/imrd/directdoc.asp?DDFDocuments/v/G/TBTN23/BDI355A1.DOCX")</f>
      </c>
    </row>
    <row r="660">
      <c r="A660" s="6" t="s">
        <v>2041</v>
      </c>
      <c r="B660" s="7">
        <v>45513</v>
      </c>
      <c r="C660" s="6">
        <f>HYPERLINK("https://eping.wto.org/en/Search?viewData= G/TBT/N/BDI/382/Add.1, G/TBT/N/KEN/1462/Add.1, G/TBT/N/RWA/894/Add.1, G/TBT/N/TZA/996/Add.1, G/TBT/N/UGA/1799/Add.1"," G/TBT/N/BDI/382/Add.1, G/TBT/N/KEN/1462/Add.1, G/TBT/N/RWA/894/Add.1, G/TBT/N/TZA/996/Add.1, G/TBT/N/UGA/1799/Add.1")</f>
      </c>
      <c r="D660" s="8" t="s">
        <v>2488</v>
      </c>
      <c r="E660" s="8" t="s">
        <v>2489</v>
      </c>
      <c r="F660" s="8" t="s">
        <v>2490</v>
      </c>
      <c r="G660" s="6" t="s">
        <v>2491</v>
      </c>
      <c r="H660" s="6" t="s">
        <v>2492</v>
      </c>
      <c r="I660" s="6" t="s">
        <v>2392</v>
      </c>
      <c r="J660" s="6" t="s">
        <v>40</v>
      </c>
      <c r="K660" s="6"/>
      <c r="L660" s="7" t="s">
        <v>40</v>
      </c>
      <c r="M660" s="6" t="s">
        <v>76</v>
      </c>
      <c r="N660" s="6"/>
      <c r="O660" s="6">
        <f>HYPERLINK("https://docs.wto.org/imrd/directdoc.asp?DDFDocuments/t/G/TBTN23/BDI382A1.DOCX", "https://docs.wto.org/imrd/directdoc.asp?DDFDocuments/t/G/TBTN23/BDI382A1.DOCX")</f>
      </c>
      <c r="P660" s="6">
        <f>HYPERLINK("https://docs.wto.org/imrd/directdoc.asp?DDFDocuments/u/G/TBTN23/BDI382A1.DOCX", "https://docs.wto.org/imrd/directdoc.asp?DDFDocuments/u/G/TBTN23/BDI382A1.DOCX")</f>
      </c>
      <c r="Q660" s="6">
        <f>HYPERLINK("https://docs.wto.org/imrd/directdoc.asp?DDFDocuments/v/G/TBTN23/BDI382A1.DOCX", "https://docs.wto.org/imrd/directdoc.asp?DDFDocuments/v/G/TBTN23/BDI382A1.DOCX")</f>
      </c>
    </row>
    <row r="661">
      <c r="A661" s="6" t="s">
        <v>2030</v>
      </c>
      <c r="B661" s="7">
        <v>45513</v>
      </c>
      <c r="C661" s="6">
        <f>HYPERLINK("https://eping.wto.org/en/Search?viewData= G/TBT/N/BDI/382/Add.1, G/TBT/N/KEN/1462/Add.1, G/TBT/N/RWA/894/Add.1, G/TBT/N/TZA/996/Add.1, G/TBT/N/UGA/1799/Add.1"," G/TBT/N/BDI/382/Add.1, G/TBT/N/KEN/1462/Add.1, G/TBT/N/RWA/894/Add.1, G/TBT/N/TZA/996/Add.1, G/TBT/N/UGA/1799/Add.1")</f>
      </c>
      <c r="D661" s="8" t="s">
        <v>2488</v>
      </c>
      <c r="E661" s="8" t="s">
        <v>2489</v>
      </c>
      <c r="F661" s="8" t="s">
        <v>2490</v>
      </c>
      <c r="G661" s="6" t="s">
        <v>2491</v>
      </c>
      <c r="H661" s="6" t="s">
        <v>2492</v>
      </c>
      <c r="I661" s="6" t="s">
        <v>2392</v>
      </c>
      <c r="J661" s="6" t="s">
        <v>40</v>
      </c>
      <c r="K661" s="6"/>
      <c r="L661" s="7" t="s">
        <v>40</v>
      </c>
      <c r="M661" s="6" t="s">
        <v>76</v>
      </c>
      <c r="N661" s="6"/>
      <c r="O661" s="6">
        <f>HYPERLINK("https://docs.wto.org/imrd/directdoc.asp?DDFDocuments/t/G/TBTN23/BDI382A1.DOCX", "https://docs.wto.org/imrd/directdoc.asp?DDFDocuments/t/G/TBTN23/BDI382A1.DOCX")</f>
      </c>
      <c r="P661" s="6">
        <f>HYPERLINK("https://docs.wto.org/imrd/directdoc.asp?DDFDocuments/u/G/TBTN23/BDI382A1.DOCX", "https://docs.wto.org/imrd/directdoc.asp?DDFDocuments/u/G/TBTN23/BDI382A1.DOCX")</f>
      </c>
      <c r="Q661" s="6">
        <f>HYPERLINK("https://docs.wto.org/imrd/directdoc.asp?DDFDocuments/v/G/TBTN23/BDI382A1.DOCX", "https://docs.wto.org/imrd/directdoc.asp?DDFDocuments/v/G/TBTN23/BDI382A1.DOCX")</f>
      </c>
    </row>
    <row r="662">
      <c r="A662" s="6" t="s">
        <v>2041</v>
      </c>
      <c r="B662" s="7">
        <v>45513</v>
      </c>
      <c r="C662" s="6">
        <f>HYPERLINK("https://eping.wto.org/en/Search?viewData= G/TBT/N/BDI/379/Add.1, G/TBT/N/KEN/1459/Add.1, G/TBT/N/RWA/891/Add.1, G/TBT/N/TZA/993/Add.1, G/TBT/N/UGA/1796/Add.1"," G/TBT/N/BDI/379/Add.1, G/TBT/N/KEN/1459/Add.1, G/TBT/N/RWA/891/Add.1, G/TBT/N/TZA/993/Add.1, G/TBT/N/UGA/1796/Add.1")</f>
      </c>
      <c r="D662" s="8" t="s">
        <v>2413</v>
      </c>
      <c r="E662" s="8" t="s">
        <v>2414</v>
      </c>
      <c r="F662" s="8" t="s">
        <v>2415</v>
      </c>
      <c r="G662" s="6" t="s">
        <v>2416</v>
      </c>
      <c r="H662" s="6" t="s">
        <v>2417</v>
      </c>
      <c r="I662" s="6" t="s">
        <v>2418</v>
      </c>
      <c r="J662" s="6" t="s">
        <v>40</v>
      </c>
      <c r="K662" s="6"/>
      <c r="L662" s="7" t="s">
        <v>40</v>
      </c>
      <c r="M662" s="6" t="s">
        <v>76</v>
      </c>
      <c r="N662" s="6"/>
      <c r="O662" s="6">
        <f>HYPERLINK("https://docs.wto.org/imrd/directdoc.asp?DDFDocuments/t/G/TBTN23/BDI379A1.DOCX", "https://docs.wto.org/imrd/directdoc.asp?DDFDocuments/t/G/TBTN23/BDI379A1.DOCX")</f>
      </c>
      <c r="P662" s="6">
        <f>HYPERLINK("https://docs.wto.org/imrd/directdoc.asp?DDFDocuments/u/G/TBTN23/BDI379A1.DOCX", "https://docs.wto.org/imrd/directdoc.asp?DDFDocuments/u/G/TBTN23/BDI379A1.DOCX")</f>
      </c>
      <c r="Q662" s="6">
        <f>HYPERLINK("https://docs.wto.org/imrd/directdoc.asp?DDFDocuments/v/G/TBTN23/BDI379A1.DOCX", "https://docs.wto.org/imrd/directdoc.asp?DDFDocuments/v/G/TBTN23/BDI379A1.DOCX")</f>
      </c>
    </row>
    <row r="663">
      <c r="A663" s="6" t="s">
        <v>2041</v>
      </c>
      <c r="B663" s="7">
        <v>45513</v>
      </c>
      <c r="C663" s="6">
        <f>HYPERLINK("https://eping.wto.org/en/Search?viewData= G/TBT/N/BDI/353/Add.1, G/TBT/N/KEN/1425/Add.1, G/TBT/N/RWA/861/Add.1, G/TBT/N/TZA/967/Add.1, G/TBT/N/UGA/1769/Add.1"," G/TBT/N/BDI/353/Add.1, G/TBT/N/KEN/1425/Add.1, G/TBT/N/RWA/861/Add.1, G/TBT/N/TZA/967/Add.1, G/TBT/N/UGA/1769/Add.1")</f>
      </c>
      <c r="D663" s="8" t="s">
        <v>2393</v>
      </c>
      <c r="E663" s="8" t="s">
        <v>2394</v>
      </c>
      <c r="F663" s="8" t="s">
        <v>2395</v>
      </c>
      <c r="G663" s="6" t="s">
        <v>2396</v>
      </c>
      <c r="H663" s="6" t="s">
        <v>2397</v>
      </c>
      <c r="I663" s="6" t="s">
        <v>2392</v>
      </c>
      <c r="J663" s="6" t="s">
        <v>40</v>
      </c>
      <c r="K663" s="6"/>
      <c r="L663" s="7" t="s">
        <v>40</v>
      </c>
      <c r="M663" s="6" t="s">
        <v>76</v>
      </c>
      <c r="N663" s="6"/>
      <c r="O663" s="6">
        <f>HYPERLINK("https://docs.wto.org/imrd/directdoc.asp?DDFDocuments/t/G/TBTN23/BDI353A1.DOCX", "https://docs.wto.org/imrd/directdoc.asp?DDFDocuments/t/G/TBTN23/BDI353A1.DOCX")</f>
      </c>
      <c r="P663" s="6">
        <f>HYPERLINK("https://docs.wto.org/imrd/directdoc.asp?DDFDocuments/u/G/TBTN23/BDI353A1.DOCX", "https://docs.wto.org/imrd/directdoc.asp?DDFDocuments/u/G/TBTN23/BDI353A1.DOCX")</f>
      </c>
      <c r="Q663" s="6">
        <f>HYPERLINK("https://docs.wto.org/imrd/directdoc.asp?DDFDocuments/v/G/TBTN23/BDI353A1.DOCX", "https://docs.wto.org/imrd/directdoc.asp?DDFDocuments/v/G/TBTN23/BDI353A1.DOCX")</f>
      </c>
    </row>
    <row r="664">
      <c r="A664" s="6" t="s">
        <v>2024</v>
      </c>
      <c r="B664" s="7">
        <v>45513</v>
      </c>
      <c r="C664" s="6">
        <f>HYPERLINK("https://eping.wto.org/en/Search?viewData= G/TBT/N/BDI/355/Add.1, G/TBT/N/KEN/1427/Add.1, G/TBT/N/RWA/863/Add.1, G/TBT/N/TZA/969/Add.1, G/TBT/N/UGA/1771/Add.1"," G/TBT/N/BDI/355/Add.1, G/TBT/N/KEN/1427/Add.1, G/TBT/N/RWA/863/Add.1, G/TBT/N/TZA/969/Add.1, G/TBT/N/UGA/1771/Add.1")</f>
      </c>
      <c r="D664" s="8" t="s">
        <v>2473</v>
      </c>
      <c r="E664" s="8" t="s">
        <v>2474</v>
      </c>
      <c r="F664" s="8" t="s">
        <v>2475</v>
      </c>
      <c r="G664" s="6" t="s">
        <v>2476</v>
      </c>
      <c r="H664" s="6" t="s">
        <v>2397</v>
      </c>
      <c r="I664" s="6" t="s">
        <v>2392</v>
      </c>
      <c r="J664" s="6" t="s">
        <v>40</v>
      </c>
      <c r="K664" s="6"/>
      <c r="L664" s="7" t="s">
        <v>40</v>
      </c>
      <c r="M664" s="6" t="s">
        <v>76</v>
      </c>
      <c r="N664" s="6"/>
      <c r="O664" s="6">
        <f>HYPERLINK("https://docs.wto.org/imrd/directdoc.asp?DDFDocuments/t/G/TBTN23/BDI355A1.DOCX", "https://docs.wto.org/imrd/directdoc.asp?DDFDocuments/t/G/TBTN23/BDI355A1.DOCX")</f>
      </c>
      <c r="P664" s="6">
        <f>HYPERLINK("https://docs.wto.org/imrd/directdoc.asp?DDFDocuments/u/G/TBTN23/BDI355A1.DOCX", "https://docs.wto.org/imrd/directdoc.asp?DDFDocuments/u/G/TBTN23/BDI355A1.DOCX")</f>
      </c>
      <c r="Q664" s="6">
        <f>HYPERLINK("https://docs.wto.org/imrd/directdoc.asp?DDFDocuments/v/G/TBTN23/BDI355A1.DOCX", "https://docs.wto.org/imrd/directdoc.asp?DDFDocuments/v/G/TBTN23/BDI355A1.DOCX")</f>
      </c>
    </row>
    <row r="665">
      <c r="A665" s="6" t="s">
        <v>2041</v>
      </c>
      <c r="B665" s="7">
        <v>45513</v>
      </c>
      <c r="C665" s="6">
        <f>HYPERLINK("https://eping.wto.org/en/Search?viewData= G/TBT/N/BDI/293/Add.1, G/TBT/N/KEN/1328/Add.1, G/TBT/N/RWA/730/Add.1, G/TBT/N/TZA/851/Add.1, G/TBT/N/UGA/1702/Add.1"," G/TBT/N/BDI/293/Add.1, G/TBT/N/KEN/1328/Add.1, G/TBT/N/RWA/730/Add.1, G/TBT/N/TZA/851/Add.1, G/TBT/N/UGA/1702/Add.1")</f>
      </c>
      <c r="D665" s="8" t="s">
        <v>2419</v>
      </c>
      <c r="E665" s="8" t="s">
        <v>2420</v>
      </c>
      <c r="F665" s="8" t="s">
        <v>2421</v>
      </c>
      <c r="G665" s="6" t="s">
        <v>2422</v>
      </c>
      <c r="H665" s="6" t="s">
        <v>2402</v>
      </c>
      <c r="I665" s="6" t="s">
        <v>2121</v>
      </c>
      <c r="J665" s="6" t="s">
        <v>122</v>
      </c>
      <c r="K665" s="6"/>
      <c r="L665" s="7" t="s">
        <v>40</v>
      </c>
      <c r="M665" s="6" t="s">
        <v>76</v>
      </c>
      <c r="N665" s="6"/>
      <c r="O665" s="6">
        <f>HYPERLINK("https://docs.wto.org/imrd/directdoc.asp?DDFDocuments/t/G/TBTN22/BDI293A1.DOCX", "https://docs.wto.org/imrd/directdoc.asp?DDFDocuments/t/G/TBTN22/BDI293A1.DOCX")</f>
      </c>
      <c r="P665" s="6">
        <f>HYPERLINK("https://docs.wto.org/imrd/directdoc.asp?DDFDocuments/u/G/TBTN22/BDI293A1.DOCX", "https://docs.wto.org/imrd/directdoc.asp?DDFDocuments/u/G/TBTN22/BDI293A1.DOCX")</f>
      </c>
      <c r="Q665" s="6">
        <f>HYPERLINK("https://docs.wto.org/imrd/directdoc.asp?DDFDocuments/v/G/TBTN22/BDI293A1.DOCX", "https://docs.wto.org/imrd/directdoc.asp?DDFDocuments/v/G/TBTN22/BDI293A1.DOCX")</f>
      </c>
    </row>
    <row r="666">
      <c r="A666" s="6" t="s">
        <v>392</v>
      </c>
      <c r="B666" s="7">
        <v>45513</v>
      </c>
      <c r="C666" s="6">
        <f>HYPERLINK("https://eping.wto.org/en/Search?viewData= G/TBT/N/SAU/1342"," G/TBT/N/SAU/1342")</f>
      </c>
      <c r="D666" s="8" t="s">
        <v>2527</v>
      </c>
      <c r="E666" s="8" t="s">
        <v>2528</v>
      </c>
      <c r="F666" s="8" t="s">
        <v>2529</v>
      </c>
      <c r="G666" s="6" t="s">
        <v>40</v>
      </c>
      <c r="H666" s="6" t="s">
        <v>2529</v>
      </c>
      <c r="I666" s="6" t="s">
        <v>2530</v>
      </c>
      <c r="J666" s="6" t="s">
        <v>40</v>
      </c>
      <c r="K666" s="6"/>
      <c r="L666" s="7">
        <v>45543</v>
      </c>
      <c r="M666" s="6" t="s">
        <v>25</v>
      </c>
      <c r="N666" s="8" t="s">
        <v>2531</v>
      </c>
      <c r="O666" s="6">
        <f>HYPERLINK("https://docs.wto.org/imrd/directdoc.asp?DDFDocuments/t/G/TBTN24/SAU1342.DOCX", "https://docs.wto.org/imrd/directdoc.asp?DDFDocuments/t/G/TBTN24/SAU1342.DOCX")</f>
      </c>
      <c r="P666" s="6">
        <f>HYPERLINK("https://docs.wto.org/imrd/directdoc.asp?DDFDocuments/u/G/TBTN24/SAU1342.DOCX", "https://docs.wto.org/imrd/directdoc.asp?DDFDocuments/u/G/TBTN24/SAU1342.DOCX")</f>
      </c>
      <c r="Q666" s="6">
        <f>HYPERLINK("https://docs.wto.org/imrd/directdoc.asp?DDFDocuments/v/G/TBTN24/SAU1342.DOCX", "https://docs.wto.org/imrd/directdoc.asp?DDFDocuments/v/G/TBTN24/SAU1342.DOCX")</f>
      </c>
    </row>
    <row r="667">
      <c r="A667" s="6" t="s">
        <v>2030</v>
      </c>
      <c r="B667" s="7">
        <v>45513</v>
      </c>
      <c r="C667" s="6">
        <f>HYPERLINK("https://eping.wto.org/en/Search?viewData= G/SPS/N/UGA/343"," G/SPS/N/UGA/343")</f>
      </c>
      <c r="D667" s="8" t="s">
        <v>2532</v>
      </c>
      <c r="E667" s="8" t="s">
        <v>2533</v>
      </c>
      <c r="F667" s="8" t="s">
        <v>2534</v>
      </c>
      <c r="G667" s="6" t="s">
        <v>2535</v>
      </c>
      <c r="H667" s="6" t="s">
        <v>1972</v>
      </c>
      <c r="I667" s="6" t="s">
        <v>38</v>
      </c>
      <c r="J667" s="6" t="s">
        <v>60</v>
      </c>
      <c r="K667" s="6"/>
      <c r="L667" s="7">
        <v>45573</v>
      </c>
      <c r="M667" s="6" t="s">
        <v>25</v>
      </c>
      <c r="N667" s="8" t="s">
        <v>2536</v>
      </c>
      <c r="O667" s="6">
        <f>HYPERLINK("https://docs.wto.org/imrd/directdoc.asp?DDFDocuments/t/G/SPS/NUGA343.DOCX", "https://docs.wto.org/imrd/directdoc.asp?DDFDocuments/t/G/SPS/NUGA343.DOCX")</f>
      </c>
      <c r="P667" s="6">
        <f>HYPERLINK("https://docs.wto.org/imrd/directdoc.asp?DDFDocuments/u/G/SPS/NUGA343.DOCX", "https://docs.wto.org/imrd/directdoc.asp?DDFDocuments/u/G/SPS/NUGA343.DOCX")</f>
      </c>
      <c r="Q667" s="6">
        <f>HYPERLINK("https://docs.wto.org/imrd/directdoc.asp?DDFDocuments/v/G/SPS/NUGA343.DOCX", "https://docs.wto.org/imrd/directdoc.asp?DDFDocuments/v/G/SPS/NUGA343.DOCX")</f>
      </c>
    </row>
    <row r="668">
      <c r="A668" s="6" t="s">
        <v>198</v>
      </c>
      <c r="B668" s="7">
        <v>45513</v>
      </c>
      <c r="C668" s="6">
        <f>HYPERLINK("https://eping.wto.org/en/Search?viewData= G/SPS/N/CHL/798"," G/SPS/N/CHL/798")</f>
      </c>
      <c r="D668" s="8" t="s">
        <v>2537</v>
      </c>
      <c r="E668" s="8" t="s">
        <v>2538</v>
      </c>
      <c r="F668" s="8" t="s">
        <v>2539</v>
      </c>
      <c r="G668" s="6" t="s">
        <v>40</v>
      </c>
      <c r="H668" s="6" t="s">
        <v>40</v>
      </c>
      <c r="I668" s="6" t="s">
        <v>353</v>
      </c>
      <c r="J668" s="6" t="s">
        <v>2540</v>
      </c>
      <c r="K668" s="6" t="s">
        <v>2541</v>
      </c>
      <c r="L668" s="7" t="s">
        <v>40</v>
      </c>
      <c r="M668" s="6" t="s">
        <v>356</v>
      </c>
      <c r="N668" s="8" t="s">
        <v>2542</v>
      </c>
      <c r="O668" s="6">
        <f>HYPERLINK("https://docs.wto.org/imrd/directdoc.asp?DDFDocuments/t/G/SPS/NCHL798.DOCX", "https://docs.wto.org/imrd/directdoc.asp?DDFDocuments/t/G/SPS/NCHL798.DOCX")</f>
      </c>
      <c r="P668" s="6">
        <f>HYPERLINK("https://docs.wto.org/imrd/directdoc.asp?DDFDocuments/u/G/SPS/NCHL798.DOCX", "https://docs.wto.org/imrd/directdoc.asp?DDFDocuments/u/G/SPS/NCHL798.DOCX")</f>
      </c>
      <c r="Q668" s="6">
        <f>HYPERLINK("https://docs.wto.org/imrd/directdoc.asp?DDFDocuments/v/G/SPS/NCHL798.DOCX", "https://docs.wto.org/imrd/directdoc.asp?DDFDocuments/v/G/SPS/NCHL798.DOCX")</f>
      </c>
    </row>
    <row r="669">
      <c r="A669" s="6" t="s">
        <v>2030</v>
      </c>
      <c r="B669" s="7">
        <v>45513</v>
      </c>
      <c r="C669" s="6">
        <f>HYPERLINK("https://eping.wto.org/en/Search?viewData= G/TBT/N/BDI/381/Add.1, G/TBT/N/KEN/1461/Add.1, G/TBT/N/RWA/893/Add.1, G/TBT/N/TZA/995/Add.1, G/TBT/N/UGA/1798/Add.1"," G/TBT/N/BDI/381/Add.1, G/TBT/N/KEN/1461/Add.1, G/TBT/N/RWA/893/Add.1, G/TBT/N/TZA/995/Add.1, G/TBT/N/UGA/1798/Add.1")</f>
      </c>
      <c r="D669" s="8" t="s">
        <v>2387</v>
      </c>
      <c r="E669" s="8" t="s">
        <v>2388</v>
      </c>
      <c r="F669" s="8" t="s">
        <v>2389</v>
      </c>
      <c r="G669" s="6" t="s">
        <v>2390</v>
      </c>
      <c r="H669" s="6" t="s">
        <v>2391</v>
      </c>
      <c r="I669" s="6" t="s">
        <v>2392</v>
      </c>
      <c r="J669" s="6" t="s">
        <v>40</v>
      </c>
      <c r="K669" s="6"/>
      <c r="L669" s="7" t="s">
        <v>40</v>
      </c>
      <c r="M669" s="6" t="s">
        <v>76</v>
      </c>
      <c r="N669" s="6"/>
      <c r="O669" s="6">
        <f>HYPERLINK("https://docs.wto.org/imrd/directdoc.asp?DDFDocuments/t/G/TBTN23/BDI381A1.DOCX", "https://docs.wto.org/imrd/directdoc.asp?DDFDocuments/t/G/TBTN23/BDI381A1.DOCX")</f>
      </c>
      <c r="P669" s="6">
        <f>HYPERLINK("https://docs.wto.org/imrd/directdoc.asp?DDFDocuments/u/G/TBTN23/BDI381A1.DOCX", "https://docs.wto.org/imrd/directdoc.asp?DDFDocuments/u/G/TBTN23/BDI381A1.DOCX")</f>
      </c>
      <c r="Q669" s="6">
        <f>HYPERLINK("https://docs.wto.org/imrd/directdoc.asp?DDFDocuments/v/G/TBTN23/BDI381A1.DOCX", "https://docs.wto.org/imrd/directdoc.asp?DDFDocuments/v/G/TBTN23/BDI381A1.DOCX")</f>
      </c>
    </row>
    <row r="670">
      <c r="A670" s="6" t="s">
        <v>880</v>
      </c>
      <c r="B670" s="7">
        <v>45513</v>
      </c>
      <c r="C670" s="6">
        <f>HYPERLINK("https://eping.wto.org/en/Search?viewData= G/TBT/N/BDI/381/Add.1, G/TBT/N/KEN/1461/Add.1, G/TBT/N/RWA/893/Add.1, G/TBT/N/TZA/995/Add.1, G/TBT/N/UGA/1798/Add.1"," G/TBT/N/BDI/381/Add.1, G/TBT/N/KEN/1461/Add.1, G/TBT/N/RWA/893/Add.1, G/TBT/N/TZA/995/Add.1, G/TBT/N/UGA/1798/Add.1")</f>
      </c>
      <c r="D670" s="8" t="s">
        <v>2387</v>
      </c>
      <c r="E670" s="8" t="s">
        <v>2388</v>
      </c>
      <c r="F670" s="8" t="s">
        <v>2389</v>
      </c>
      <c r="G670" s="6" t="s">
        <v>2390</v>
      </c>
      <c r="H670" s="6" t="s">
        <v>2391</v>
      </c>
      <c r="I670" s="6" t="s">
        <v>2153</v>
      </c>
      <c r="J670" s="6" t="s">
        <v>40</v>
      </c>
      <c r="K670" s="6"/>
      <c r="L670" s="7" t="s">
        <v>40</v>
      </c>
      <c r="M670" s="6" t="s">
        <v>76</v>
      </c>
      <c r="N670" s="6"/>
      <c r="O670" s="6">
        <f>HYPERLINK("https://docs.wto.org/imrd/directdoc.asp?DDFDocuments/t/G/TBTN23/BDI381A1.DOCX", "https://docs.wto.org/imrd/directdoc.asp?DDFDocuments/t/G/TBTN23/BDI381A1.DOCX")</f>
      </c>
      <c r="P670" s="6">
        <f>HYPERLINK("https://docs.wto.org/imrd/directdoc.asp?DDFDocuments/u/G/TBTN23/BDI381A1.DOCX", "https://docs.wto.org/imrd/directdoc.asp?DDFDocuments/u/G/TBTN23/BDI381A1.DOCX")</f>
      </c>
      <c r="Q670" s="6">
        <f>HYPERLINK("https://docs.wto.org/imrd/directdoc.asp?DDFDocuments/v/G/TBTN23/BDI381A1.DOCX", "https://docs.wto.org/imrd/directdoc.asp?DDFDocuments/v/G/TBTN23/BDI381A1.DOCX")</f>
      </c>
    </row>
    <row r="671">
      <c r="A671" s="6" t="s">
        <v>17</v>
      </c>
      <c r="B671" s="7">
        <v>45512</v>
      </c>
      <c r="C671" s="6">
        <f>HYPERLINK("https://eping.wto.org/en/Search?viewData= G/SPS/N/BDI/62/Add.1, G/SPS/N/KEN/218/Add.1, G/SPS/N/RWA/55/Add.1, G/SPS/N/TZA/284/Add.1, G/SPS/N/UGA/259/Add.1"," G/SPS/N/BDI/62/Add.1, G/SPS/N/KEN/218/Add.1, G/SPS/N/RWA/55/Add.1, G/SPS/N/TZA/284/Add.1, G/SPS/N/UGA/259/Add.1")</f>
      </c>
      <c r="D671" s="8" t="s">
        <v>2543</v>
      </c>
      <c r="E671" s="8" t="s">
        <v>2544</v>
      </c>
      <c r="F671" s="8" t="s">
        <v>2545</v>
      </c>
      <c r="G671" s="6" t="s">
        <v>2546</v>
      </c>
      <c r="H671" s="6" t="s">
        <v>2547</v>
      </c>
      <c r="I671" s="6" t="s">
        <v>38</v>
      </c>
      <c r="J671" s="6" t="s">
        <v>2548</v>
      </c>
      <c r="K671" s="6"/>
      <c r="L671" s="7" t="s">
        <v>40</v>
      </c>
      <c r="M671" s="6" t="s">
        <v>76</v>
      </c>
      <c r="N671" s="6"/>
      <c r="O671" s="6">
        <f>HYPERLINK("https://docs.wto.org/imrd/directdoc.asp?DDFDocuments/t/G/SPS/NBDI62A1.DOCX", "https://docs.wto.org/imrd/directdoc.asp?DDFDocuments/t/G/SPS/NBDI62A1.DOCX")</f>
      </c>
      <c r="P671" s="6">
        <f>HYPERLINK("https://docs.wto.org/imrd/directdoc.asp?DDFDocuments/u/G/SPS/NBDI62A1.DOCX", "https://docs.wto.org/imrd/directdoc.asp?DDFDocuments/u/G/SPS/NBDI62A1.DOCX")</f>
      </c>
      <c r="Q671" s="6">
        <f>HYPERLINK("https://docs.wto.org/imrd/directdoc.asp?DDFDocuments/v/G/SPS/NBDI62A1.DOCX", "https://docs.wto.org/imrd/directdoc.asp?DDFDocuments/v/G/SPS/NBDI62A1.DOCX")</f>
      </c>
    </row>
    <row r="672">
      <c r="A672" s="6" t="s">
        <v>2041</v>
      </c>
      <c r="B672" s="7">
        <v>45512</v>
      </c>
      <c r="C672" s="6">
        <f>HYPERLINK("https://eping.wto.org/en/Search?viewData= G/SPS/N/BDI/62/Add.1, G/SPS/N/KEN/218/Add.1, G/SPS/N/RWA/55/Add.1, G/SPS/N/TZA/284/Add.1, G/SPS/N/UGA/259/Add.1"," G/SPS/N/BDI/62/Add.1, G/SPS/N/KEN/218/Add.1, G/SPS/N/RWA/55/Add.1, G/SPS/N/TZA/284/Add.1, G/SPS/N/UGA/259/Add.1")</f>
      </c>
      <c r="D672" s="8" t="s">
        <v>2543</v>
      </c>
      <c r="E672" s="8" t="s">
        <v>2544</v>
      </c>
      <c r="F672" s="8" t="s">
        <v>2545</v>
      </c>
      <c r="G672" s="6" t="s">
        <v>2546</v>
      </c>
      <c r="H672" s="6" t="s">
        <v>2547</v>
      </c>
      <c r="I672" s="6" t="s">
        <v>38</v>
      </c>
      <c r="J672" s="6" t="s">
        <v>2548</v>
      </c>
      <c r="K672" s="6"/>
      <c r="L672" s="7" t="s">
        <v>40</v>
      </c>
      <c r="M672" s="6" t="s">
        <v>76</v>
      </c>
      <c r="N672" s="6"/>
      <c r="O672" s="6">
        <f>HYPERLINK("https://docs.wto.org/imrd/directdoc.asp?DDFDocuments/t/G/SPS/NBDI62A1.DOCX", "https://docs.wto.org/imrd/directdoc.asp?DDFDocuments/t/G/SPS/NBDI62A1.DOCX")</f>
      </c>
      <c r="P672" s="6">
        <f>HYPERLINK("https://docs.wto.org/imrd/directdoc.asp?DDFDocuments/u/G/SPS/NBDI62A1.DOCX", "https://docs.wto.org/imrd/directdoc.asp?DDFDocuments/u/G/SPS/NBDI62A1.DOCX")</f>
      </c>
      <c r="Q672" s="6">
        <f>HYPERLINK("https://docs.wto.org/imrd/directdoc.asp?DDFDocuments/v/G/SPS/NBDI62A1.DOCX", "https://docs.wto.org/imrd/directdoc.asp?DDFDocuments/v/G/SPS/NBDI62A1.DOCX")</f>
      </c>
    </row>
    <row r="673">
      <c r="A673" s="6" t="s">
        <v>2024</v>
      </c>
      <c r="B673" s="7">
        <v>45512</v>
      </c>
      <c r="C673" s="6">
        <f>HYPERLINK("https://eping.wto.org/en/Search?viewData= G/SPS/N/BDI/60/Add.1, G/SPS/N/KEN/216/Add.1, G/SPS/N/RWA/53/Add.1, G/SPS/N/TZA/282/Add.1, G/SPS/N/UGA/257/Add.1"," G/SPS/N/BDI/60/Add.1, G/SPS/N/KEN/216/Add.1, G/SPS/N/RWA/53/Add.1, G/SPS/N/TZA/282/Add.1, G/SPS/N/UGA/257/Add.1")</f>
      </c>
      <c r="D673" s="8" t="s">
        <v>2549</v>
      </c>
      <c r="E673" s="8" t="s">
        <v>2550</v>
      </c>
      <c r="F673" s="8" t="s">
        <v>2545</v>
      </c>
      <c r="G673" s="6" t="s">
        <v>2546</v>
      </c>
      <c r="H673" s="6" t="s">
        <v>2547</v>
      </c>
      <c r="I673" s="6" t="s">
        <v>38</v>
      </c>
      <c r="J673" s="6" t="s">
        <v>1663</v>
      </c>
      <c r="K673" s="6"/>
      <c r="L673" s="7" t="s">
        <v>40</v>
      </c>
      <c r="M673" s="6" t="s">
        <v>76</v>
      </c>
      <c r="N673" s="6"/>
      <c r="O673" s="6">
        <f>HYPERLINK("https://docs.wto.org/imrd/directdoc.asp?DDFDocuments/t/G/SPS/NBDI60A1.DOCX", "https://docs.wto.org/imrd/directdoc.asp?DDFDocuments/t/G/SPS/NBDI60A1.DOCX")</f>
      </c>
      <c r="P673" s="6">
        <f>HYPERLINK("https://docs.wto.org/imrd/directdoc.asp?DDFDocuments/u/G/SPS/NBDI60A1.DOCX", "https://docs.wto.org/imrd/directdoc.asp?DDFDocuments/u/G/SPS/NBDI60A1.DOCX")</f>
      </c>
      <c r="Q673" s="6">
        <f>HYPERLINK("https://docs.wto.org/imrd/directdoc.asp?DDFDocuments/v/G/SPS/NBDI60A1.DOCX", "https://docs.wto.org/imrd/directdoc.asp?DDFDocuments/v/G/SPS/NBDI60A1.DOCX")</f>
      </c>
    </row>
    <row r="674">
      <c r="A674" s="6" t="s">
        <v>2030</v>
      </c>
      <c r="B674" s="7">
        <v>45512</v>
      </c>
      <c r="C674" s="6">
        <f>HYPERLINK("https://eping.wto.org/en/Search?viewData= G/SPS/N/BDI/29/Add.1, G/SPS/N/KEN/182/Add.1, G/SPS/N/RWA/22/Add.1, G/SPS/N/TZA/215/Add.1, G/SPS/N/UGA/224/Add.1"," G/SPS/N/BDI/29/Add.1, G/SPS/N/KEN/182/Add.1, G/SPS/N/RWA/22/Add.1, G/SPS/N/TZA/215/Add.1, G/SPS/N/UGA/224/Add.1")</f>
      </c>
      <c r="D674" s="8" t="s">
        <v>2419</v>
      </c>
      <c r="E674" s="8" t="s">
        <v>2551</v>
      </c>
      <c r="F674" s="8" t="s">
        <v>2552</v>
      </c>
      <c r="G674" s="6" t="s">
        <v>2422</v>
      </c>
      <c r="H674" s="6" t="s">
        <v>2402</v>
      </c>
      <c r="I674" s="6" t="s">
        <v>2312</v>
      </c>
      <c r="J674" s="6" t="s">
        <v>1663</v>
      </c>
      <c r="K674" s="6"/>
      <c r="L674" s="7" t="s">
        <v>40</v>
      </c>
      <c r="M674" s="6" t="s">
        <v>76</v>
      </c>
      <c r="N674" s="6"/>
      <c r="O674" s="6">
        <f>HYPERLINK("https://docs.wto.org/imrd/directdoc.asp?DDFDocuments/t/G/SPS/NBDI29A1.DOCX", "https://docs.wto.org/imrd/directdoc.asp?DDFDocuments/t/G/SPS/NBDI29A1.DOCX")</f>
      </c>
      <c r="P674" s="6">
        <f>HYPERLINK("https://docs.wto.org/imrd/directdoc.asp?DDFDocuments/u/G/SPS/NBDI29A1.DOCX", "https://docs.wto.org/imrd/directdoc.asp?DDFDocuments/u/G/SPS/NBDI29A1.DOCX")</f>
      </c>
      <c r="Q674" s="6">
        <f>HYPERLINK("https://docs.wto.org/imrd/directdoc.asp?DDFDocuments/v/G/SPS/NBDI29A1.DOCX", "https://docs.wto.org/imrd/directdoc.asp?DDFDocuments/v/G/SPS/NBDI29A1.DOCX")</f>
      </c>
    </row>
    <row r="675">
      <c r="A675" s="6" t="s">
        <v>2024</v>
      </c>
      <c r="B675" s="7">
        <v>45512</v>
      </c>
      <c r="C675" s="6">
        <f>HYPERLINK("https://eping.wto.org/en/Search?viewData= G/TBT/N/BDI/390/Add.1, G/TBT/N/KEN/1470/Add.1, G/TBT/N/RWA/902/Add.1, G/TBT/N/TZA/1004/Add.1, G/TBT/N/UGA/1809/Add.1"," G/TBT/N/BDI/390/Add.1, G/TBT/N/KEN/1470/Add.1, G/TBT/N/RWA/902/Add.1, G/TBT/N/TZA/1004/Add.1, G/TBT/N/UGA/1809/Add.1")</f>
      </c>
      <c r="D675" s="8" t="s">
        <v>2553</v>
      </c>
      <c r="E675" s="8" t="s">
        <v>2554</v>
      </c>
      <c r="F675" s="8" t="s">
        <v>2555</v>
      </c>
      <c r="G675" s="6" t="s">
        <v>2546</v>
      </c>
      <c r="H675" s="6" t="s">
        <v>2547</v>
      </c>
      <c r="I675" s="6" t="s">
        <v>2456</v>
      </c>
      <c r="J675" s="6" t="s">
        <v>122</v>
      </c>
      <c r="K675" s="6"/>
      <c r="L675" s="7" t="s">
        <v>40</v>
      </c>
      <c r="M675" s="6" t="s">
        <v>76</v>
      </c>
      <c r="N675" s="6"/>
      <c r="O675" s="6">
        <f>HYPERLINK("https://docs.wto.org/imrd/directdoc.asp?DDFDocuments/t/G/TBTN23/BDI390A1.DOCX", "https://docs.wto.org/imrd/directdoc.asp?DDFDocuments/t/G/TBTN23/BDI390A1.DOCX")</f>
      </c>
      <c r="P675" s="6">
        <f>HYPERLINK("https://docs.wto.org/imrd/directdoc.asp?DDFDocuments/u/G/TBTN23/BDI390A1.DOCX", "https://docs.wto.org/imrd/directdoc.asp?DDFDocuments/u/G/TBTN23/BDI390A1.DOCX")</f>
      </c>
      <c r="Q675" s="6">
        <f>HYPERLINK("https://docs.wto.org/imrd/directdoc.asp?DDFDocuments/v/G/TBTN23/BDI390A1.DOCX", "https://docs.wto.org/imrd/directdoc.asp?DDFDocuments/v/G/TBTN23/BDI390A1.DOCX")</f>
      </c>
    </row>
    <row r="676">
      <c r="A676" s="6" t="s">
        <v>17</v>
      </c>
      <c r="B676" s="7">
        <v>45512</v>
      </c>
      <c r="C676" s="6">
        <f>HYPERLINK("https://eping.wto.org/en/Search?viewData= G/TBT/N/BDI/390/Add.1, G/TBT/N/KEN/1470/Add.1, G/TBT/N/RWA/902/Add.1, G/TBT/N/TZA/1004/Add.1, G/TBT/N/UGA/1809/Add.1"," G/TBT/N/BDI/390/Add.1, G/TBT/N/KEN/1470/Add.1, G/TBT/N/RWA/902/Add.1, G/TBT/N/TZA/1004/Add.1, G/TBT/N/UGA/1809/Add.1")</f>
      </c>
      <c r="D676" s="8" t="s">
        <v>2553</v>
      </c>
      <c r="E676" s="8" t="s">
        <v>2554</v>
      </c>
      <c r="F676" s="8" t="s">
        <v>2555</v>
      </c>
      <c r="G676" s="6" t="s">
        <v>2546</v>
      </c>
      <c r="H676" s="6" t="s">
        <v>2547</v>
      </c>
      <c r="I676" s="6" t="s">
        <v>2456</v>
      </c>
      <c r="J676" s="6" t="s">
        <v>122</v>
      </c>
      <c r="K676" s="6"/>
      <c r="L676" s="7" t="s">
        <v>40</v>
      </c>
      <c r="M676" s="6" t="s">
        <v>76</v>
      </c>
      <c r="N676" s="6"/>
      <c r="O676" s="6">
        <f>HYPERLINK("https://docs.wto.org/imrd/directdoc.asp?DDFDocuments/t/G/TBTN23/BDI390A1.DOCX", "https://docs.wto.org/imrd/directdoc.asp?DDFDocuments/t/G/TBTN23/BDI390A1.DOCX")</f>
      </c>
      <c r="P676" s="6">
        <f>HYPERLINK("https://docs.wto.org/imrd/directdoc.asp?DDFDocuments/u/G/TBTN23/BDI390A1.DOCX", "https://docs.wto.org/imrd/directdoc.asp?DDFDocuments/u/G/TBTN23/BDI390A1.DOCX")</f>
      </c>
      <c r="Q676" s="6">
        <f>HYPERLINK("https://docs.wto.org/imrd/directdoc.asp?DDFDocuments/v/G/TBTN23/BDI390A1.DOCX", "https://docs.wto.org/imrd/directdoc.asp?DDFDocuments/v/G/TBTN23/BDI390A1.DOCX")</f>
      </c>
    </row>
    <row r="677">
      <c r="A677" s="6" t="s">
        <v>322</v>
      </c>
      <c r="B677" s="7">
        <v>45512</v>
      </c>
      <c r="C677" s="6">
        <f>HYPERLINK("https://eping.wto.org/en/Search?viewData= G/SPS/N/TPKM/628/Add.1"," G/SPS/N/TPKM/628/Add.1")</f>
      </c>
      <c r="D677" s="8" t="s">
        <v>2556</v>
      </c>
      <c r="E677" s="8" t="s">
        <v>2557</v>
      </c>
      <c r="F677" s="8" t="s">
        <v>2069</v>
      </c>
      <c r="G677" s="6" t="s">
        <v>40</v>
      </c>
      <c r="H677" s="6" t="s">
        <v>40</v>
      </c>
      <c r="I677" s="6" t="s">
        <v>184</v>
      </c>
      <c r="J677" s="6" t="s">
        <v>2558</v>
      </c>
      <c r="K677" s="6"/>
      <c r="L677" s="7" t="s">
        <v>40</v>
      </c>
      <c r="M677" s="6" t="s">
        <v>76</v>
      </c>
      <c r="N677" s="6"/>
      <c r="O677" s="6">
        <f>HYPERLINK("https://docs.wto.org/imrd/directdoc.asp?DDFDocuments/t/G/SPS/NTPKM628A1.DOCX", "https://docs.wto.org/imrd/directdoc.asp?DDFDocuments/t/G/SPS/NTPKM628A1.DOCX")</f>
      </c>
      <c r="P677" s="6">
        <f>HYPERLINK("https://docs.wto.org/imrd/directdoc.asp?DDFDocuments/u/G/SPS/NTPKM628A1.DOCX", "https://docs.wto.org/imrd/directdoc.asp?DDFDocuments/u/G/SPS/NTPKM628A1.DOCX")</f>
      </c>
      <c r="Q677" s="6">
        <f>HYPERLINK("https://docs.wto.org/imrd/directdoc.asp?DDFDocuments/v/G/SPS/NTPKM628A1.DOCX", "https://docs.wto.org/imrd/directdoc.asp?DDFDocuments/v/G/SPS/NTPKM628A1.DOCX")</f>
      </c>
    </row>
    <row r="678">
      <c r="A678" s="6" t="s">
        <v>419</v>
      </c>
      <c r="B678" s="7">
        <v>45512</v>
      </c>
      <c r="C678" s="6">
        <f>HYPERLINK("https://eping.wto.org/en/Search?viewData= G/TBT/N/JPN/826"," G/TBT/N/JPN/826")</f>
      </c>
      <c r="D678" s="8" t="s">
        <v>2559</v>
      </c>
      <c r="E678" s="8" t="s">
        <v>2560</v>
      </c>
      <c r="F678" s="8" t="s">
        <v>2561</v>
      </c>
      <c r="G678" s="6" t="s">
        <v>40</v>
      </c>
      <c r="H678" s="6" t="s">
        <v>40</v>
      </c>
      <c r="I678" s="6" t="s">
        <v>142</v>
      </c>
      <c r="J678" s="6" t="s">
        <v>24</v>
      </c>
      <c r="K678" s="6"/>
      <c r="L678" s="7">
        <v>45572</v>
      </c>
      <c r="M678" s="6" t="s">
        <v>25</v>
      </c>
      <c r="N678" s="8" t="s">
        <v>2562</v>
      </c>
      <c r="O678" s="6">
        <f>HYPERLINK("https://docs.wto.org/imrd/directdoc.asp?DDFDocuments/t/G/TBTN24/JPN826.DOCX", "https://docs.wto.org/imrd/directdoc.asp?DDFDocuments/t/G/TBTN24/JPN826.DOCX")</f>
      </c>
      <c r="P678" s="6">
        <f>HYPERLINK("https://docs.wto.org/imrd/directdoc.asp?DDFDocuments/u/G/TBTN24/JPN826.DOCX", "https://docs.wto.org/imrd/directdoc.asp?DDFDocuments/u/G/TBTN24/JPN826.DOCX")</f>
      </c>
      <c r="Q678" s="6">
        <f>HYPERLINK("https://docs.wto.org/imrd/directdoc.asp?DDFDocuments/v/G/TBTN24/JPN826.DOCX", "https://docs.wto.org/imrd/directdoc.asp?DDFDocuments/v/G/TBTN24/JPN826.DOCX")</f>
      </c>
    </row>
    <row r="679">
      <c r="A679" s="6" t="s">
        <v>2041</v>
      </c>
      <c r="B679" s="7">
        <v>45512</v>
      </c>
      <c r="C679" s="6">
        <f>HYPERLINK("https://eping.wto.org/en/Search?viewData= G/SPS/N/BDI/29/Add.1, G/SPS/N/KEN/182/Add.1, G/SPS/N/RWA/22/Add.1, G/SPS/N/TZA/215/Add.1, G/SPS/N/UGA/224/Add.1"," G/SPS/N/BDI/29/Add.1, G/SPS/N/KEN/182/Add.1, G/SPS/N/RWA/22/Add.1, G/SPS/N/TZA/215/Add.1, G/SPS/N/UGA/224/Add.1")</f>
      </c>
      <c r="D679" s="8" t="s">
        <v>2419</v>
      </c>
      <c r="E679" s="8" t="s">
        <v>2551</v>
      </c>
      <c r="F679" s="8" t="s">
        <v>2552</v>
      </c>
      <c r="G679" s="6" t="s">
        <v>2422</v>
      </c>
      <c r="H679" s="6" t="s">
        <v>2402</v>
      </c>
      <c r="I679" s="6" t="s">
        <v>2312</v>
      </c>
      <c r="J679" s="6" t="s">
        <v>1663</v>
      </c>
      <c r="K679" s="6"/>
      <c r="L679" s="7" t="s">
        <v>40</v>
      </c>
      <c r="M679" s="6" t="s">
        <v>76</v>
      </c>
      <c r="N679" s="6"/>
      <c r="O679" s="6">
        <f>HYPERLINK("https://docs.wto.org/imrd/directdoc.asp?DDFDocuments/t/G/SPS/NBDI29A1.DOCX", "https://docs.wto.org/imrd/directdoc.asp?DDFDocuments/t/G/SPS/NBDI29A1.DOCX")</f>
      </c>
      <c r="P679" s="6">
        <f>HYPERLINK("https://docs.wto.org/imrd/directdoc.asp?DDFDocuments/u/G/SPS/NBDI29A1.DOCX", "https://docs.wto.org/imrd/directdoc.asp?DDFDocuments/u/G/SPS/NBDI29A1.DOCX")</f>
      </c>
      <c r="Q679" s="6">
        <f>HYPERLINK("https://docs.wto.org/imrd/directdoc.asp?DDFDocuments/v/G/SPS/NBDI29A1.DOCX", "https://docs.wto.org/imrd/directdoc.asp?DDFDocuments/v/G/SPS/NBDI29A1.DOCX")</f>
      </c>
    </row>
    <row r="680">
      <c r="A680" s="6" t="s">
        <v>2030</v>
      </c>
      <c r="B680" s="7">
        <v>45512</v>
      </c>
      <c r="C680" s="6">
        <f>HYPERLINK("https://eping.wto.org/en/Search?viewData= G/TBT/N/BDI/387/Add.1, G/TBT/N/KEN/1467/Add.1, G/TBT/N/RWA/899/Add.1, G/TBT/N/TZA/1001/Add.1, G/TBT/N/UGA/1806/Add.1"," G/TBT/N/BDI/387/Add.1, G/TBT/N/KEN/1467/Add.1, G/TBT/N/RWA/899/Add.1, G/TBT/N/TZA/1001/Add.1, G/TBT/N/UGA/1806/Add.1")</f>
      </c>
      <c r="D680" s="8" t="s">
        <v>2563</v>
      </c>
      <c r="E680" s="8" t="s">
        <v>2564</v>
      </c>
      <c r="F680" s="8" t="s">
        <v>2555</v>
      </c>
      <c r="G680" s="6" t="s">
        <v>2546</v>
      </c>
      <c r="H680" s="6" t="s">
        <v>2547</v>
      </c>
      <c r="I680" s="6" t="s">
        <v>2456</v>
      </c>
      <c r="J680" s="6" t="s">
        <v>122</v>
      </c>
      <c r="K680" s="6"/>
      <c r="L680" s="7" t="s">
        <v>40</v>
      </c>
      <c r="M680" s="6" t="s">
        <v>76</v>
      </c>
      <c r="N680" s="6"/>
      <c r="O680" s="6">
        <f>HYPERLINK("https://docs.wto.org/imrd/directdoc.asp?DDFDocuments/t/G/TBTN23/BDI387A1.DOCX", "https://docs.wto.org/imrd/directdoc.asp?DDFDocuments/t/G/TBTN23/BDI387A1.DOCX")</f>
      </c>
      <c r="P680" s="6">
        <f>HYPERLINK("https://docs.wto.org/imrd/directdoc.asp?DDFDocuments/u/G/TBTN23/BDI387A1.DOCX", "https://docs.wto.org/imrd/directdoc.asp?DDFDocuments/u/G/TBTN23/BDI387A1.DOCX")</f>
      </c>
      <c r="Q680" s="6">
        <f>HYPERLINK("https://docs.wto.org/imrd/directdoc.asp?DDFDocuments/v/G/TBTN23/BDI387A1.DOCX", "https://docs.wto.org/imrd/directdoc.asp?DDFDocuments/v/G/TBTN23/BDI387A1.DOCX")</f>
      </c>
    </row>
    <row r="681">
      <c r="A681" s="6" t="s">
        <v>2030</v>
      </c>
      <c r="B681" s="7">
        <v>45512</v>
      </c>
      <c r="C681" s="6">
        <f>HYPERLINK("https://eping.wto.org/en/Search?viewData= G/TBT/N/BDI/389/Add.1, G/TBT/N/KEN/1469/Add.1, G/TBT/N/RWA/901/Add.1, G/TBT/N/TZA/1003/Add.1, G/TBT/N/UGA/1808/Add.1"," G/TBT/N/BDI/389/Add.1, G/TBT/N/KEN/1469/Add.1, G/TBT/N/RWA/901/Add.1, G/TBT/N/TZA/1003/Add.1, G/TBT/N/UGA/1808/Add.1")</f>
      </c>
      <c r="D681" s="8" t="s">
        <v>2543</v>
      </c>
      <c r="E681" s="8" t="s">
        <v>2565</v>
      </c>
      <c r="F681" s="8" t="s">
        <v>2555</v>
      </c>
      <c r="G681" s="6" t="s">
        <v>2546</v>
      </c>
      <c r="H681" s="6" t="s">
        <v>2547</v>
      </c>
      <c r="I681" s="6" t="s">
        <v>2456</v>
      </c>
      <c r="J681" s="6" t="s">
        <v>122</v>
      </c>
      <c r="K681" s="6"/>
      <c r="L681" s="7" t="s">
        <v>40</v>
      </c>
      <c r="M681" s="6" t="s">
        <v>76</v>
      </c>
      <c r="N681" s="6"/>
      <c r="O681" s="6">
        <f>HYPERLINK("https://docs.wto.org/imrd/directdoc.asp?DDFDocuments/t/G/TBTN23/BDI389A1.DOCX", "https://docs.wto.org/imrd/directdoc.asp?DDFDocuments/t/G/TBTN23/BDI389A1.DOCX")</f>
      </c>
      <c r="P681" s="6">
        <f>HYPERLINK("https://docs.wto.org/imrd/directdoc.asp?DDFDocuments/u/G/TBTN23/BDI389A1.DOCX", "https://docs.wto.org/imrd/directdoc.asp?DDFDocuments/u/G/TBTN23/BDI389A1.DOCX")</f>
      </c>
      <c r="Q681" s="6">
        <f>HYPERLINK("https://docs.wto.org/imrd/directdoc.asp?DDFDocuments/v/G/TBTN23/BDI389A1.DOCX", "https://docs.wto.org/imrd/directdoc.asp?DDFDocuments/v/G/TBTN23/BDI389A1.DOCX")</f>
      </c>
    </row>
    <row r="682">
      <c r="A682" s="6" t="s">
        <v>2024</v>
      </c>
      <c r="B682" s="7">
        <v>45512</v>
      </c>
      <c r="C682" s="6">
        <f>HYPERLINK("https://eping.wto.org/en/Search?viewData= G/TBT/N/BDI/380/Add.1, G/TBT/N/KEN/1460/Add.1, G/TBT/N/RWA/892/Add.1, G/TBT/N/TZA/994/Add.1, G/TBT/N/UGA/1797/Add.1"," G/TBT/N/BDI/380/Add.1, G/TBT/N/KEN/1460/Add.1, G/TBT/N/RWA/892/Add.1, G/TBT/N/TZA/994/Add.1, G/TBT/N/UGA/1797/Add.1")</f>
      </c>
      <c r="D682" s="8" t="s">
        <v>2566</v>
      </c>
      <c r="E682" s="8" t="s">
        <v>2567</v>
      </c>
      <c r="F682" s="8" t="s">
        <v>2568</v>
      </c>
      <c r="G682" s="6" t="s">
        <v>2569</v>
      </c>
      <c r="H682" s="6" t="s">
        <v>2570</v>
      </c>
      <c r="I682" s="6" t="s">
        <v>2392</v>
      </c>
      <c r="J682" s="6" t="s">
        <v>40</v>
      </c>
      <c r="K682" s="6"/>
      <c r="L682" s="7" t="s">
        <v>40</v>
      </c>
      <c r="M682" s="6" t="s">
        <v>76</v>
      </c>
      <c r="N682" s="6"/>
      <c r="O682" s="6">
        <f>HYPERLINK("https://docs.wto.org/imrd/directdoc.asp?DDFDocuments/t/G/TBTN23/BDI380A1.DOCX", "https://docs.wto.org/imrd/directdoc.asp?DDFDocuments/t/G/TBTN23/BDI380A1.DOCX")</f>
      </c>
      <c r="P682" s="6">
        <f>HYPERLINK("https://docs.wto.org/imrd/directdoc.asp?DDFDocuments/u/G/TBTN23/BDI380A1.DOCX", "https://docs.wto.org/imrd/directdoc.asp?DDFDocuments/u/G/TBTN23/BDI380A1.DOCX")</f>
      </c>
      <c r="Q682" s="6">
        <f>HYPERLINK("https://docs.wto.org/imrd/directdoc.asp?DDFDocuments/v/G/TBTN23/BDI380A1.DOCX", "https://docs.wto.org/imrd/directdoc.asp?DDFDocuments/v/G/TBTN23/BDI380A1.DOCX")</f>
      </c>
    </row>
    <row r="683">
      <c r="A683" s="6" t="s">
        <v>17</v>
      </c>
      <c r="B683" s="7">
        <v>45512</v>
      </c>
      <c r="C683" s="6">
        <f>HYPERLINK("https://eping.wto.org/en/Search?viewData= G/SPS/N/BDI/61/Add.1, G/SPS/N/KEN/217/Add.1, G/SPS/N/RWA/54/Add.1, G/SPS/N/TZA/283/Add.1, G/SPS/N/UGA/258/Add.1"," G/SPS/N/BDI/61/Add.1, G/SPS/N/KEN/217/Add.1, G/SPS/N/RWA/54/Add.1, G/SPS/N/TZA/283/Add.1, G/SPS/N/UGA/258/Add.1")</f>
      </c>
      <c r="D683" s="8" t="s">
        <v>2571</v>
      </c>
      <c r="E683" s="8" t="s">
        <v>2572</v>
      </c>
      <c r="F683" s="8" t="s">
        <v>2545</v>
      </c>
      <c r="G683" s="6" t="s">
        <v>2546</v>
      </c>
      <c r="H683" s="6" t="s">
        <v>2547</v>
      </c>
      <c r="I683" s="6" t="s">
        <v>2312</v>
      </c>
      <c r="J683" s="6" t="s">
        <v>1663</v>
      </c>
      <c r="K683" s="6"/>
      <c r="L683" s="7" t="s">
        <v>40</v>
      </c>
      <c r="M683" s="6" t="s">
        <v>76</v>
      </c>
      <c r="N683" s="6"/>
      <c r="O683" s="6">
        <f>HYPERLINK("https://docs.wto.org/imrd/directdoc.asp?DDFDocuments/t/G/SPS/NBDI61A1.DOCX", "https://docs.wto.org/imrd/directdoc.asp?DDFDocuments/t/G/SPS/NBDI61A1.DOCX")</f>
      </c>
      <c r="P683" s="6">
        <f>HYPERLINK("https://docs.wto.org/imrd/directdoc.asp?DDFDocuments/u/G/SPS/NBDI61A1.DOCX", "https://docs.wto.org/imrd/directdoc.asp?DDFDocuments/u/G/SPS/NBDI61A1.DOCX")</f>
      </c>
      <c r="Q683" s="6">
        <f>HYPERLINK("https://docs.wto.org/imrd/directdoc.asp?DDFDocuments/v/G/SPS/NBDI61A1.DOCX", "https://docs.wto.org/imrd/directdoc.asp?DDFDocuments/v/G/SPS/NBDI61A1.DOCX")</f>
      </c>
    </row>
    <row r="684">
      <c r="A684" s="6" t="s">
        <v>2041</v>
      </c>
      <c r="B684" s="7">
        <v>45512</v>
      </c>
      <c r="C684" s="6">
        <f>HYPERLINK("https://eping.wto.org/en/Search?viewData= G/SPS/N/BDI/60/Add.1, G/SPS/N/KEN/216/Add.1, G/SPS/N/RWA/53/Add.1, G/SPS/N/TZA/282/Add.1, G/SPS/N/UGA/257/Add.1"," G/SPS/N/BDI/60/Add.1, G/SPS/N/KEN/216/Add.1, G/SPS/N/RWA/53/Add.1, G/SPS/N/TZA/282/Add.1, G/SPS/N/UGA/257/Add.1")</f>
      </c>
      <c r="D684" s="8" t="s">
        <v>2549</v>
      </c>
      <c r="E684" s="8" t="s">
        <v>2550</v>
      </c>
      <c r="F684" s="8" t="s">
        <v>2545</v>
      </c>
      <c r="G684" s="6" t="s">
        <v>2546</v>
      </c>
      <c r="H684" s="6" t="s">
        <v>2547</v>
      </c>
      <c r="I684" s="6" t="s">
        <v>38</v>
      </c>
      <c r="J684" s="6" t="s">
        <v>1663</v>
      </c>
      <c r="K684" s="6"/>
      <c r="L684" s="7" t="s">
        <v>40</v>
      </c>
      <c r="M684" s="6" t="s">
        <v>76</v>
      </c>
      <c r="N684" s="6"/>
      <c r="O684" s="6">
        <f>HYPERLINK("https://docs.wto.org/imrd/directdoc.asp?DDFDocuments/t/G/SPS/NBDI60A1.DOCX", "https://docs.wto.org/imrd/directdoc.asp?DDFDocuments/t/G/SPS/NBDI60A1.DOCX")</f>
      </c>
      <c r="P684" s="6">
        <f>HYPERLINK("https://docs.wto.org/imrd/directdoc.asp?DDFDocuments/u/G/SPS/NBDI60A1.DOCX", "https://docs.wto.org/imrd/directdoc.asp?DDFDocuments/u/G/SPS/NBDI60A1.DOCX")</f>
      </c>
      <c r="Q684" s="6">
        <f>HYPERLINK("https://docs.wto.org/imrd/directdoc.asp?DDFDocuments/v/G/SPS/NBDI60A1.DOCX", "https://docs.wto.org/imrd/directdoc.asp?DDFDocuments/v/G/SPS/NBDI60A1.DOCX")</f>
      </c>
    </row>
    <row r="685">
      <c r="A685" s="6" t="s">
        <v>2024</v>
      </c>
      <c r="B685" s="7">
        <v>45512</v>
      </c>
      <c r="C685" s="6">
        <f>HYPERLINK("https://eping.wto.org/en/Search?viewData= G/SPS/N/BDI/28/Add.1, G/SPS/N/KEN/181/Add.1, G/SPS/N/RWA/21/Add.1, G/SPS/N/TZA/214/Add.1, G/SPS/N/UGA/223/Add.1"," G/SPS/N/BDI/28/Add.1, G/SPS/N/KEN/181/Add.1, G/SPS/N/RWA/21/Add.1, G/SPS/N/TZA/214/Add.1, G/SPS/N/UGA/223/Add.1")</f>
      </c>
      <c r="D685" s="8" t="s">
        <v>2573</v>
      </c>
      <c r="E685" s="8" t="s">
        <v>2574</v>
      </c>
      <c r="F685" s="8" t="s">
        <v>2575</v>
      </c>
      <c r="G685" s="6" t="s">
        <v>2401</v>
      </c>
      <c r="H685" s="6" t="s">
        <v>2402</v>
      </c>
      <c r="I685" s="6" t="s">
        <v>2312</v>
      </c>
      <c r="J685" s="6" t="s">
        <v>1663</v>
      </c>
      <c r="K685" s="6"/>
      <c r="L685" s="7" t="s">
        <v>40</v>
      </c>
      <c r="M685" s="6" t="s">
        <v>76</v>
      </c>
      <c r="N685" s="6"/>
      <c r="O685" s="6">
        <f>HYPERLINK("https://docs.wto.org/imrd/directdoc.asp?DDFDocuments/t/G/SPS/NBDI28A1.DOCX", "https://docs.wto.org/imrd/directdoc.asp?DDFDocuments/t/G/SPS/NBDI28A1.DOCX")</f>
      </c>
      <c r="P685" s="6">
        <f>HYPERLINK("https://docs.wto.org/imrd/directdoc.asp?DDFDocuments/u/G/SPS/NBDI28A1.DOCX", "https://docs.wto.org/imrd/directdoc.asp?DDFDocuments/u/G/SPS/NBDI28A1.DOCX")</f>
      </c>
      <c r="Q685" s="6">
        <f>HYPERLINK("https://docs.wto.org/imrd/directdoc.asp?DDFDocuments/v/G/SPS/NBDI28A1.DOCX", "https://docs.wto.org/imrd/directdoc.asp?DDFDocuments/v/G/SPS/NBDI28A1.DOCX")</f>
      </c>
    </row>
    <row r="686">
      <c r="A686" s="6" t="s">
        <v>2576</v>
      </c>
      <c r="B686" s="7">
        <v>45512</v>
      </c>
      <c r="C686" s="6">
        <f>HYPERLINK("https://eping.wto.org/en/Search?viewData= G/SPS/N/NPL/45"," G/SPS/N/NPL/45")</f>
      </c>
      <c r="D686" s="8" t="s">
        <v>2577</v>
      </c>
      <c r="E686" s="8" t="s">
        <v>2578</v>
      </c>
      <c r="F686" s="8" t="s">
        <v>2579</v>
      </c>
      <c r="G686" s="6" t="s">
        <v>40</v>
      </c>
      <c r="H686" s="6" t="s">
        <v>40</v>
      </c>
      <c r="I686" s="6" t="s">
        <v>38</v>
      </c>
      <c r="J686" s="6" t="s">
        <v>60</v>
      </c>
      <c r="K686" s="6" t="s">
        <v>40</v>
      </c>
      <c r="L686" s="7">
        <v>45572</v>
      </c>
      <c r="M686" s="6" t="s">
        <v>25</v>
      </c>
      <c r="N686" s="8" t="s">
        <v>2580</v>
      </c>
      <c r="O686" s="6">
        <f>HYPERLINK("https://docs.wto.org/imrd/directdoc.asp?DDFDocuments/t/G/SPS/NNPL45.DOCX", "https://docs.wto.org/imrd/directdoc.asp?DDFDocuments/t/G/SPS/NNPL45.DOCX")</f>
      </c>
      <c r="P686" s="6">
        <f>HYPERLINK("https://docs.wto.org/imrd/directdoc.asp?DDFDocuments/u/G/SPS/NNPL45.DOCX", "https://docs.wto.org/imrd/directdoc.asp?DDFDocuments/u/G/SPS/NNPL45.DOCX")</f>
      </c>
      <c r="Q686" s="6">
        <f>HYPERLINK("https://docs.wto.org/imrd/directdoc.asp?DDFDocuments/v/G/SPS/NNPL45.DOCX", "https://docs.wto.org/imrd/directdoc.asp?DDFDocuments/v/G/SPS/NNPL45.DOCX")</f>
      </c>
    </row>
    <row r="687">
      <c r="A687" s="6" t="s">
        <v>2024</v>
      </c>
      <c r="B687" s="7">
        <v>45512</v>
      </c>
      <c r="C687" s="6">
        <f>HYPERLINK("https://eping.wto.org/en/Search?viewData= G/SPS/N/BDI/63/Add.1, G/SPS/N/KEN/219/Add.1, G/SPS/N/RWA/56/Add.1, G/SPS/N/TZA/285/Add.1, G/SPS/N/UGA/260/Add.1"," G/SPS/N/BDI/63/Add.1, G/SPS/N/KEN/219/Add.1, G/SPS/N/RWA/56/Add.1, G/SPS/N/TZA/285/Add.1, G/SPS/N/UGA/260/Add.1")</f>
      </c>
      <c r="D687" s="8" t="s">
        <v>2553</v>
      </c>
      <c r="E687" s="8" t="s">
        <v>2581</v>
      </c>
      <c r="F687" s="8" t="s">
        <v>2545</v>
      </c>
      <c r="G687" s="6" t="s">
        <v>2546</v>
      </c>
      <c r="H687" s="6" t="s">
        <v>2547</v>
      </c>
      <c r="I687" s="6" t="s">
        <v>2312</v>
      </c>
      <c r="J687" s="6" t="s">
        <v>2548</v>
      </c>
      <c r="K687" s="6"/>
      <c r="L687" s="7" t="s">
        <v>40</v>
      </c>
      <c r="M687" s="6" t="s">
        <v>76</v>
      </c>
      <c r="N687" s="6"/>
      <c r="O687" s="6">
        <f>HYPERLINK("https://docs.wto.org/imrd/directdoc.asp?DDFDocuments/t/G/SPS/NBDI63A1.DOCX", "https://docs.wto.org/imrd/directdoc.asp?DDFDocuments/t/G/SPS/NBDI63A1.DOCX")</f>
      </c>
      <c r="P687" s="6">
        <f>HYPERLINK("https://docs.wto.org/imrd/directdoc.asp?DDFDocuments/u/G/SPS/NBDI63A1.DOCX", "https://docs.wto.org/imrd/directdoc.asp?DDFDocuments/u/G/SPS/NBDI63A1.DOCX")</f>
      </c>
      <c r="Q687" s="6">
        <f>HYPERLINK("https://docs.wto.org/imrd/directdoc.asp?DDFDocuments/v/G/SPS/NBDI63A1.DOCX", "https://docs.wto.org/imrd/directdoc.asp?DDFDocuments/v/G/SPS/NBDI63A1.DOCX")</f>
      </c>
    </row>
    <row r="688">
      <c r="A688" s="6" t="s">
        <v>17</v>
      </c>
      <c r="B688" s="7">
        <v>45512</v>
      </c>
      <c r="C688" s="6">
        <f>HYPERLINK("https://eping.wto.org/en/Search?viewData= G/SPS/N/BDI/27/Add.1, G/SPS/N/KEN/180/Add.1, G/SPS/N/RWA/20/Add.1, G/SPS/N/TZA/213/Add.1, G/SPS/N/UGA/222/Add.1"," G/SPS/N/BDI/27/Add.1, G/SPS/N/KEN/180/Add.1, G/SPS/N/RWA/20/Add.1, G/SPS/N/TZA/213/Add.1, G/SPS/N/UGA/222/Add.1")</f>
      </c>
      <c r="D688" s="8" t="s">
        <v>2438</v>
      </c>
      <c r="E688" s="8" t="s">
        <v>2582</v>
      </c>
      <c r="F688" s="8" t="s">
        <v>2583</v>
      </c>
      <c r="G688" s="6" t="s">
        <v>2441</v>
      </c>
      <c r="H688" s="6" t="s">
        <v>2402</v>
      </c>
      <c r="I688" s="6" t="s">
        <v>2312</v>
      </c>
      <c r="J688" s="6" t="s">
        <v>1663</v>
      </c>
      <c r="K688" s="6"/>
      <c r="L688" s="7" t="s">
        <v>40</v>
      </c>
      <c r="M688" s="6" t="s">
        <v>76</v>
      </c>
      <c r="N688" s="6"/>
      <c r="O688" s="6">
        <f>HYPERLINK("https://docs.wto.org/imrd/directdoc.asp?DDFDocuments/t/G/SPS/NBDI27A1.DOCX", "https://docs.wto.org/imrd/directdoc.asp?DDFDocuments/t/G/SPS/NBDI27A1.DOCX")</f>
      </c>
      <c r="P688" s="6">
        <f>HYPERLINK("https://docs.wto.org/imrd/directdoc.asp?DDFDocuments/u/G/SPS/NBDI27A1.DOCX", "https://docs.wto.org/imrd/directdoc.asp?DDFDocuments/u/G/SPS/NBDI27A1.DOCX")</f>
      </c>
      <c r="Q688" s="6">
        <f>HYPERLINK("https://docs.wto.org/imrd/directdoc.asp?DDFDocuments/v/G/SPS/NBDI27A1.DOCX", "https://docs.wto.org/imrd/directdoc.asp?DDFDocuments/v/G/SPS/NBDI27A1.DOCX")</f>
      </c>
    </row>
    <row r="689">
      <c r="A689" s="6" t="s">
        <v>2041</v>
      </c>
      <c r="B689" s="7">
        <v>45512</v>
      </c>
      <c r="C689" s="6">
        <f>HYPERLINK("https://eping.wto.org/en/Search?viewData= G/TBT/N/BDI/390/Add.1, G/TBT/N/KEN/1470/Add.1, G/TBT/N/RWA/902/Add.1, G/TBT/N/TZA/1004/Add.1, G/TBT/N/UGA/1809/Add.1"," G/TBT/N/BDI/390/Add.1, G/TBT/N/KEN/1470/Add.1, G/TBT/N/RWA/902/Add.1, G/TBT/N/TZA/1004/Add.1, G/TBT/N/UGA/1809/Add.1")</f>
      </c>
      <c r="D689" s="8" t="s">
        <v>2553</v>
      </c>
      <c r="E689" s="8" t="s">
        <v>2554</v>
      </c>
      <c r="F689" s="8" t="s">
        <v>2555</v>
      </c>
      <c r="G689" s="6" t="s">
        <v>2546</v>
      </c>
      <c r="H689" s="6" t="s">
        <v>2547</v>
      </c>
      <c r="I689" s="6" t="s">
        <v>2456</v>
      </c>
      <c r="J689" s="6" t="s">
        <v>122</v>
      </c>
      <c r="K689" s="6"/>
      <c r="L689" s="7" t="s">
        <v>40</v>
      </c>
      <c r="M689" s="6" t="s">
        <v>76</v>
      </c>
      <c r="N689" s="6"/>
      <c r="O689" s="6">
        <f>HYPERLINK("https://docs.wto.org/imrd/directdoc.asp?DDFDocuments/t/G/TBTN23/BDI390A1.DOCX", "https://docs.wto.org/imrd/directdoc.asp?DDFDocuments/t/G/TBTN23/BDI390A1.DOCX")</f>
      </c>
      <c r="P689" s="6">
        <f>HYPERLINK("https://docs.wto.org/imrd/directdoc.asp?DDFDocuments/u/G/TBTN23/BDI390A1.DOCX", "https://docs.wto.org/imrd/directdoc.asp?DDFDocuments/u/G/TBTN23/BDI390A1.DOCX")</f>
      </c>
      <c r="Q689" s="6">
        <f>HYPERLINK("https://docs.wto.org/imrd/directdoc.asp?DDFDocuments/v/G/TBTN23/BDI390A1.DOCX", "https://docs.wto.org/imrd/directdoc.asp?DDFDocuments/v/G/TBTN23/BDI390A1.DOCX")</f>
      </c>
    </row>
    <row r="690">
      <c r="A690" s="6" t="s">
        <v>2030</v>
      </c>
      <c r="B690" s="7">
        <v>45512</v>
      </c>
      <c r="C690" s="6">
        <f>HYPERLINK("https://eping.wto.org/en/Search?viewData= G/TBT/N/BDI/380/Add.1, G/TBT/N/KEN/1460/Add.1, G/TBT/N/RWA/892/Add.1, G/TBT/N/TZA/994/Add.1, G/TBT/N/UGA/1797/Add.1"," G/TBT/N/BDI/380/Add.1, G/TBT/N/KEN/1460/Add.1, G/TBT/N/RWA/892/Add.1, G/TBT/N/TZA/994/Add.1, G/TBT/N/UGA/1797/Add.1")</f>
      </c>
      <c r="D690" s="8" t="s">
        <v>2566</v>
      </c>
      <c r="E690" s="8" t="s">
        <v>2567</v>
      </c>
      <c r="F690" s="8" t="s">
        <v>2568</v>
      </c>
      <c r="G690" s="6" t="s">
        <v>2569</v>
      </c>
      <c r="H690" s="6" t="s">
        <v>2570</v>
      </c>
      <c r="I690" s="6" t="s">
        <v>2392</v>
      </c>
      <c r="J690" s="6" t="s">
        <v>40</v>
      </c>
      <c r="K690" s="6"/>
      <c r="L690" s="7" t="s">
        <v>40</v>
      </c>
      <c r="M690" s="6" t="s">
        <v>76</v>
      </c>
      <c r="N690" s="6"/>
      <c r="O690" s="6">
        <f>HYPERLINK("https://docs.wto.org/imrd/directdoc.asp?DDFDocuments/t/G/TBTN23/BDI380A1.DOCX", "https://docs.wto.org/imrd/directdoc.asp?DDFDocuments/t/G/TBTN23/BDI380A1.DOCX")</f>
      </c>
      <c r="P690" s="6">
        <f>HYPERLINK("https://docs.wto.org/imrd/directdoc.asp?DDFDocuments/u/G/TBTN23/BDI380A1.DOCX", "https://docs.wto.org/imrd/directdoc.asp?DDFDocuments/u/G/TBTN23/BDI380A1.DOCX")</f>
      </c>
      <c r="Q690" s="6">
        <f>HYPERLINK("https://docs.wto.org/imrd/directdoc.asp?DDFDocuments/v/G/TBTN23/BDI380A1.DOCX", "https://docs.wto.org/imrd/directdoc.asp?DDFDocuments/v/G/TBTN23/BDI380A1.DOCX")</f>
      </c>
    </row>
    <row r="691">
      <c r="A691" s="6" t="s">
        <v>99</v>
      </c>
      <c r="B691" s="7">
        <v>45512</v>
      </c>
      <c r="C691" s="6">
        <f>HYPERLINK("https://eping.wto.org/en/Search?viewData= G/SPS/N/AUS/479/Add.4"," G/SPS/N/AUS/479/Add.4")</f>
      </c>
      <c r="D691" s="8" t="s">
        <v>2584</v>
      </c>
      <c r="E691" s="8" t="s">
        <v>2585</v>
      </c>
      <c r="F691" s="8" t="s">
        <v>2586</v>
      </c>
      <c r="G691" s="6" t="s">
        <v>40</v>
      </c>
      <c r="H691" s="6" t="s">
        <v>40</v>
      </c>
      <c r="I691" s="6" t="s">
        <v>369</v>
      </c>
      <c r="J691" s="6" t="s">
        <v>2587</v>
      </c>
      <c r="K691" s="6"/>
      <c r="L691" s="7">
        <v>45572</v>
      </c>
      <c r="M691" s="6" t="s">
        <v>76</v>
      </c>
      <c r="N691" s="8" t="s">
        <v>2588</v>
      </c>
      <c r="O691" s="6">
        <f>HYPERLINK("https://docs.wto.org/imrd/directdoc.asp?DDFDocuments/t/G/SPS/NAUS479A4.DOCX", "https://docs.wto.org/imrd/directdoc.asp?DDFDocuments/t/G/SPS/NAUS479A4.DOCX")</f>
      </c>
      <c r="P691" s="6">
        <f>HYPERLINK("https://docs.wto.org/imrd/directdoc.asp?DDFDocuments/u/G/SPS/NAUS479A4.DOCX", "https://docs.wto.org/imrd/directdoc.asp?DDFDocuments/u/G/SPS/NAUS479A4.DOCX")</f>
      </c>
      <c r="Q691" s="6">
        <f>HYPERLINK("https://docs.wto.org/imrd/directdoc.asp?DDFDocuments/v/G/SPS/NAUS479A4.DOCX", "https://docs.wto.org/imrd/directdoc.asp?DDFDocuments/v/G/SPS/NAUS479A4.DOCX")</f>
      </c>
    </row>
    <row r="692">
      <c r="A692" s="6" t="s">
        <v>17</v>
      </c>
      <c r="B692" s="7">
        <v>45512</v>
      </c>
      <c r="C692" s="6">
        <f>HYPERLINK("https://eping.wto.org/en/Search?viewData= G/TBT/N/BDI/389/Add.1, G/TBT/N/KEN/1469/Add.1, G/TBT/N/RWA/901/Add.1, G/TBT/N/TZA/1003/Add.1, G/TBT/N/UGA/1808/Add.1"," G/TBT/N/BDI/389/Add.1, G/TBT/N/KEN/1469/Add.1, G/TBT/N/RWA/901/Add.1, G/TBT/N/TZA/1003/Add.1, G/TBT/N/UGA/1808/Add.1")</f>
      </c>
      <c r="D692" s="8" t="s">
        <v>2543</v>
      </c>
      <c r="E692" s="8" t="s">
        <v>2565</v>
      </c>
      <c r="F692" s="8" t="s">
        <v>2555</v>
      </c>
      <c r="G692" s="6" t="s">
        <v>2546</v>
      </c>
      <c r="H692" s="6" t="s">
        <v>2547</v>
      </c>
      <c r="I692" s="6" t="s">
        <v>2456</v>
      </c>
      <c r="J692" s="6" t="s">
        <v>122</v>
      </c>
      <c r="K692" s="6"/>
      <c r="L692" s="7" t="s">
        <v>40</v>
      </c>
      <c r="M692" s="6" t="s">
        <v>76</v>
      </c>
      <c r="N692" s="6"/>
      <c r="O692" s="6">
        <f>HYPERLINK("https://docs.wto.org/imrd/directdoc.asp?DDFDocuments/t/G/TBTN23/BDI389A1.DOCX", "https://docs.wto.org/imrd/directdoc.asp?DDFDocuments/t/G/TBTN23/BDI389A1.DOCX")</f>
      </c>
      <c r="P692" s="6">
        <f>HYPERLINK("https://docs.wto.org/imrd/directdoc.asp?DDFDocuments/u/G/TBTN23/BDI389A1.DOCX", "https://docs.wto.org/imrd/directdoc.asp?DDFDocuments/u/G/TBTN23/BDI389A1.DOCX")</f>
      </c>
      <c r="Q692" s="6">
        <f>HYPERLINK("https://docs.wto.org/imrd/directdoc.asp?DDFDocuments/v/G/TBTN23/BDI389A1.DOCX", "https://docs.wto.org/imrd/directdoc.asp?DDFDocuments/v/G/TBTN23/BDI389A1.DOCX")</f>
      </c>
    </row>
    <row r="693">
      <c r="A693" s="6" t="s">
        <v>2041</v>
      </c>
      <c r="B693" s="7">
        <v>45512</v>
      </c>
      <c r="C693" s="6">
        <f>HYPERLINK("https://eping.wto.org/en/Search?viewData= G/TBT/N/BDI/380/Add.1, G/TBT/N/KEN/1460/Add.1, G/TBT/N/RWA/892/Add.1, G/TBT/N/TZA/994/Add.1, G/TBT/N/UGA/1797/Add.1"," G/TBT/N/BDI/380/Add.1, G/TBT/N/KEN/1460/Add.1, G/TBT/N/RWA/892/Add.1, G/TBT/N/TZA/994/Add.1, G/TBT/N/UGA/1797/Add.1")</f>
      </c>
      <c r="D693" s="8" t="s">
        <v>2566</v>
      </c>
      <c r="E693" s="8" t="s">
        <v>2567</v>
      </c>
      <c r="F693" s="8" t="s">
        <v>2568</v>
      </c>
      <c r="G693" s="6" t="s">
        <v>2569</v>
      </c>
      <c r="H693" s="6" t="s">
        <v>2570</v>
      </c>
      <c r="I693" s="6" t="s">
        <v>2392</v>
      </c>
      <c r="J693" s="6" t="s">
        <v>40</v>
      </c>
      <c r="K693" s="6"/>
      <c r="L693" s="7" t="s">
        <v>40</v>
      </c>
      <c r="M693" s="6" t="s">
        <v>76</v>
      </c>
      <c r="N693" s="6"/>
      <c r="O693" s="6">
        <f>HYPERLINK("https://docs.wto.org/imrd/directdoc.asp?DDFDocuments/t/G/TBTN23/BDI380A1.DOCX", "https://docs.wto.org/imrd/directdoc.asp?DDFDocuments/t/G/TBTN23/BDI380A1.DOCX")</f>
      </c>
      <c r="P693" s="6">
        <f>HYPERLINK("https://docs.wto.org/imrd/directdoc.asp?DDFDocuments/u/G/TBTN23/BDI380A1.DOCX", "https://docs.wto.org/imrd/directdoc.asp?DDFDocuments/u/G/TBTN23/BDI380A1.DOCX")</f>
      </c>
      <c r="Q693" s="6">
        <f>HYPERLINK("https://docs.wto.org/imrd/directdoc.asp?DDFDocuments/v/G/TBTN23/BDI380A1.DOCX", "https://docs.wto.org/imrd/directdoc.asp?DDFDocuments/v/G/TBTN23/BDI380A1.DOCX")</f>
      </c>
    </row>
    <row r="694">
      <c r="A694" s="6" t="s">
        <v>2024</v>
      </c>
      <c r="B694" s="7">
        <v>45512</v>
      </c>
      <c r="C694" s="6">
        <f>HYPERLINK("https://eping.wto.org/en/Search?viewData= G/SPS/N/BDI/61/Add.1, G/SPS/N/KEN/217/Add.1, G/SPS/N/RWA/54/Add.1, G/SPS/N/TZA/283/Add.1, G/SPS/N/UGA/258/Add.1"," G/SPS/N/BDI/61/Add.1, G/SPS/N/KEN/217/Add.1, G/SPS/N/RWA/54/Add.1, G/SPS/N/TZA/283/Add.1, G/SPS/N/UGA/258/Add.1")</f>
      </c>
      <c r="D694" s="8" t="s">
        <v>2571</v>
      </c>
      <c r="E694" s="8" t="s">
        <v>2572</v>
      </c>
      <c r="F694" s="8" t="s">
        <v>2545</v>
      </c>
      <c r="G694" s="6" t="s">
        <v>2546</v>
      </c>
      <c r="H694" s="6" t="s">
        <v>2547</v>
      </c>
      <c r="I694" s="6" t="s">
        <v>2312</v>
      </c>
      <c r="J694" s="6" t="s">
        <v>1460</v>
      </c>
      <c r="K694" s="6"/>
      <c r="L694" s="7" t="s">
        <v>40</v>
      </c>
      <c r="M694" s="6" t="s">
        <v>76</v>
      </c>
      <c r="N694" s="6"/>
      <c r="O694" s="6">
        <f>HYPERLINK("https://docs.wto.org/imrd/directdoc.asp?DDFDocuments/t/G/SPS/NBDI61A1.DOCX", "https://docs.wto.org/imrd/directdoc.asp?DDFDocuments/t/G/SPS/NBDI61A1.DOCX")</f>
      </c>
      <c r="P694" s="6">
        <f>HYPERLINK("https://docs.wto.org/imrd/directdoc.asp?DDFDocuments/u/G/SPS/NBDI61A1.DOCX", "https://docs.wto.org/imrd/directdoc.asp?DDFDocuments/u/G/SPS/NBDI61A1.DOCX")</f>
      </c>
      <c r="Q694" s="6">
        <f>HYPERLINK("https://docs.wto.org/imrd/directdoc.asp?DDFDocuments/v/G/SPS/NBDI61A1.DOCX", "https://docs.wto.org/imrd/directdoc.asp?DDFDocuments/v/G/SPS/NBDI61A1.DOCX")</f>
      </c>
    </row>
    <row r="695">
      <c r="A695" s="6" t="s">
        <v>880</v>
      </c>
      <c r="B695" s="7">
        <v>45512</v>
      </c>
      <c r="C695" s="6">
        <f>HYPERLINK("https://eping.wto.org/en/Search?viewData= G/SPS/N/BDI/63/Add.1, G/SPS/N/KEN/219/Add.1, G/SPS/N/RWA/56/Add.1, G/SPS/N/TZA/285/Add.1, G/SPS/N/UGA/260/Add.1"," G/SPS/N/BDI/63/Add.1, G/SPS/N/KEN/219/Add.1, G/SPS/N/RWA/56/Add.1, G/SPS/N/TZA/285/Add.1, G/SPS/N/UGA/260/Add.1")</f>
      </c>
      <c r="D695" s="8" t="s">
        <v>2553</v>
      </c>
      <c r="E695" s="8" t="s">
        <v>2581</v>
      </c>
      <c r="F695" s="8" t="s">
        <v>2545</v>
      </c>
      <c r="G695" s="6" t="s">
        <v>2546</v>
      </c>
      <c r="H695" s="6" t="s">
        <v>2547</v>
      </c>
      <c r="I695" s="6" t="s">
        <v>38</v>
      </c>
      <c r="J695" s="6" t="s">
        <v>1533</v>
      </c>
      <c r="K695" s="6"/>
      <c r="L695" s="7" t="s">
        <v>40</v>
      </c>
      <c r="M695" s="6" t="s">
        <v>76</v>
      </c>
      <c r="N695" s="6"/>
      <c r="O695" s="6">
        <f>HYPERLINK("https://docs.wto.org/imrd/directdoc.asp?DDFDocuments/t/G/SPS/NBDI63A1.DOCX", "https://docs.wto.org/imrd/directdoc.asp?DDFDocuments/t/G/SPS/NBDI63A1.DOCX")</f>
      </c>
      <c r="P695" s="6">
        <f>HYPERLINK("https://docs.wto.org/imrd/directdoc.asp?DDFDocuments/u/G/SPS/NBDI63A1.DOCX", "https://docs.wto.org/imrd/directdoc.asp?DDFDocuments/u/G/SPS/NBDI63A1.DOCX")</f>
      </c>
      <c r="Q695" s="6">
        <f>HYPERLINK("https://docs.wto.org/imrd/directdoc.asp?DDFDocuments/v/G/SPS/NBDI63A1.DOCX", "https://docs.wto.org/imrd/directdoc.asp?DDFDocuments/v/G/SPS/NBDI63A1.DOCX")</f>
      </c>
    </row>
    <row r="696">
      <c r="A696" s="6" t="s">
        <v>2041</v>
      </c>
      <c r="B696" s="7">
        <v>45512</v>
      </c>
      <c r="C696" s="6">
        <f>HYPERLINK("https://eping.wto.org/en/Search?viewData= G/TBT/N/BDI/389/Add.1, G/TBT/N/KEN/1469/Add.1, G/TBT/N/RWA/901/Add.1, G/TBT/N/TZA/1003/Add.1, G/TBT/N/UGA/1808/Add.1"," G/TBT/N/BDI/389/Add.1, G/TBT/N/KEN/1469/Add.1, G/TBT/N/RWA/901/Add.1, G/TBT/N/TZA/1003/Add.1, G/TBT/N/UGA/1808/Add.1")</f>
      </c>
      <c r="D696" s="8" t="s">
        <v>2543</v>
      </c>
      <c r="E696" s="8" t="s">
        <v>2565</v>
      </c>
      <c r="F696" s="8" t="s">
        <v>2555</v>
      </c>
      <c r="G696" s="6" t="s">
        <v>2546</v>
      </c>
      <c r="H696" s="6" t="s">
        <v>2547</v>
      </c>
      <c r="I696" s="6" t="s">
        <v>2456</v>
      </c>
      <c r="J696" s="6" t="s">
        <v>122</v>
      </c>
      <c r="K696" s="6"/>
      <c r="L696" s="7" t="s">
        <v>40</v>
      </c>
      <c r="M696" s="6" t="s">
        <v>76</v>
      </c>
      <c r="N696" s="6"/>
      <c r="O696" s="6">
        <f>HYPERLINK("https://docs.wto.org/imrd/directdoc.asp?DDFDocuments/t/G/TBTN23/BDI389A1.DOCX", "https://docs.wto.org/imrd/directdoc.asp?DDFDocuments/t/G/TBTN23/BDI389A1.DOCX")</f>
      </c>
      <c r="P696" s="6">
        <f>HYPERLINK("https://docs.wto.org/imrd/directdoc.asp?DDFDocuments/u/G/TBTN23/BDI389A1.DOCX", "https://docs.wto.org/imrd/directdoc.asp?DDFDocuments/u/G/TBTN23/BDI389A1.DOCX")</f>
      </c>
      <c r="Q696" s="6">
        <f>HYPERLINK("https://docs.wto.org/imrd/directdoc.asp?DDFDocuments/v/G/TBTN23/BDI389A1.DOCX", "https://docs.wto.org/imrd/directdoc.asp?DDFDocuments/v/G/TBTN23/BDI389A1.DOCX")</f>
      </c>
    </row>
    <row r="697">
      <c r="A697" s="6" t="s">
        <v>880</v>
      </c>
      <c r="B697" s="7">
        <v>45512</v>
      </c>
      <c r="C697" s="6">
        <f>HYPERLINK("https://eping.wto.org/en/Search?viewData= G/TBT/N/BDI/380/Add.1, G/TBT/N/KEN/1460/Add.1, G/TBT/N/RWA/892/Add.1, G/TBT/N/TZA/994/Add.1, G/TBT/N/UGA/1797/Add.1"," G/TBT/N/BDI/380/Add.1, G/TBT/N/KEN/1460/Add.1, G/TBT/N/RWA/892/Add.1, G/TBT/N/TZA/994/Add.1, G/TBT/N/UGA/1797/Add.1")</f>
      </c>
      <c r="D697" s="8" t="s">
        <v>2566</v>
      </c>
      <c r="E697" s="8" t="s">
        <v>2567</v>
      </c>
      <c r="F697" s="8" t="s">
        <v>2568</v>
      </c>
      <c r="G697" s="6" t="s">
        <v>2569</v>
      </c>
      <c r="H697" s="6" t="s">
        <v>2570</v>
      </c>
      <c r="I697" s="6" t="s">
        <v>2153</v>
      </c>
      <c r="J697" s="6" t="s">
        <v>40</v>
      </c>
      <c r="K697" s="6"/>
      <c r="L697" s="7" t="s">
        <v>40</v>
      </c>
      <c r="M697" s="6" t="s">
        <v>76</v>
      </c>
      <c r="N697" s="6"/>
      <c r="O697" s="6">
        <f>HYPERLINK("https://docs.wto.org/imrd/directdoc.asp?DDFDocuments/t/G/TBTN23/BDI380A1.DOCX", "https://docs.wto.org/imrd/directdoc.asp?DDFDocuments/t/G/TBTN23/BDI380A1.DOCX")</f>
      </c>
      <c r="P697" s="6">
        <f>HYPERLINK("https://docs.wto.org/imrd/directdoc.asp?DDFDocuments/u/G/TBTN23/BDI380A1.DOCX", "https://docs.wto.org/imrd/directdoc.asp?DDFDocuments/u/G/TBTN23/BDI380A1.DOCX")</f>
      </c>
      <c r="Q697" s="6">
        <f>HYPERLINK("https://docs.wto.org/imrd/directdoc.asp?DDFDocuments/v/G/TBTN23/BDI380A1.DOCX", "https://docs.wto.org/imrd/directdoc.asp?DDFDocuments/v/G/TBTN23/BDI380A1.DOCX")</f>
      </c>
    </row>
    <row r="698">
      <c r="A698" s="6" t="s">
        <v>2041</v>
      </c>
      <c r="B698" s="7">
        <v>45512</v>
      </c>
      <c r="C698" s="6">
        <f>HYPERLINK("https://eping.wto.org/en/Search?viewData= G/TBT/N/BDI/387/Add.1, G/TBT/N/KEN/1467/Add.1, G/TBT/N/RWA/899/Add.1, G/TBT/N/TZA/1001/Add.1, G/TBT/N/UGA/1806/Add.1"," G/TBT/N/BDI/387/Add.1, G/TBT/N/KEN/1467/Add.1, G/TBT/N/RWA/899/Add.1, G/TBT/N/TZA/1001/Add.1, G/TBT/N/UGA/1806/Add.1")</f>
      </c>
      <c r="D698" s="8" t="s">
        <v>2563</v>
      </c>
      <c r="E698" s="8" t="s">
        <v>2564</v>
      </c>
      <c r="F698" s="8" t="s">
        <v>2555</v>
      </c>
      <c r="G698" s="6" t="s">
        <v>2546</v>
      </c>
      <c r="H698" s="6" t="s">
        <v>2547</v>
      </c>
      <c r="I698" s="6" t="s">
        <v>2456</v>
      </c>
      <c r="J698" s="6" t="s">
        <v>122</v>
      </c>
      <c r="K698" s="6"/>
      <c r="L698" s="7" t="s">
        <v>40</v>
      </c>
      <c r="M698" s="6" t="s">
        <v>76</v>
      </c>
      <c r="N698" s="6"/>
      <c r="O698" s="6">
        <f>HYPERLINK("https://docs.wto.org/imrd/directdoc.asp?DDFDocuments/t/G/TBTN23/BDI387A1.DOCX", "https://docs.wto.org/imrd/directdoc.asp?DDFDocuments/t/G/TBTN23/BDI387A1.DOCX")</f>
      </c>
      <c r="P698" s="6">
        <f>HYPERLINK("https://docs.wto.org/imrd/directdoc.asp?DDFDocuments/u/G/TBTN23/BDI387A1.DOCX", "https://docs.wto.org/imrd/directdoc.asp?DDFDocuments/u/G/TBTN23/BDI387A1.DOCX")</f>
      </c>
      <c r="Q698" s="6">
        <f>HYPERLINK("https://docs.wto.org/imrd/directdoc.asp?DDFDocuments/v/G/TBTN23/BDI387A1.DOCX", "https://docs.wto.org/imrd/directdoc.asp?DDFDocuments/v/G/TBTN23/BDI387A1.DOCX")</f>
      </c>
    </row>
    <row r="699">
      <c r="A699" s="6" t="s">
        <v>17</v>
      </c>
      <c r="B699" s="7">
        <v>45512</v>
      </c>
      <c r="C699" s="6">
        <f>HYPERLINK("https://eping.wto.org/en/Search?viewData= G/SPS/N/BDI/63/Add.1, G/SPS/N/KEN/219/Add.1, G/SPS/N/RWA/56/Add.1, G/SPS/N/TZA/285/Add.1, G/SPS/N/UGA/260/Add.1"," G/SPS/N/BDI/63/Add.1, G/SPS/N/KEN/219/Add.1, G/SPS/N/RWA/56/Add.1, G/SPS/N/TZA/285/Add.1, G/SPS/N/UGA/260/Add.1")</f>
      </c>
      <c r="D699" s="8" t="s">
        <v>2553</v>
      </c>
      <c r="E699" s="8" t="s">
        <v>2581</v>
      </c>
      <c r="F699" s="8" t="s">
        <v>2545</v>
      </c>
      <c r="G699" s="6" t="s">
        <v>2546</v>
      </c>
      <c r="H699" s="6" t="s">
        <v>2547</v>
      </c>
      <c r="I699" s="6" t="s">
        <v>2312</v>
      </c>
      <c r="J699" s="6" t="s">
        <v>2548</v>
      </c>
      <c r="K699" s="6"/>
      <c r="L699" s="7" t="s">
        <v>40</v>
      </c>
      <c r="M699" s="6" t="s">
        <v>76</v>
      </c>
      <c r="N699" s="6"/>
      <c r="O699" s="6">
        <f>HYPERLINK("https://docs.wto.org/imrd/directdoc.asp?DDFDocuments/t/G/SPS/NBDI63A1.DOCX", "https://docs.wto.org/imrd/directdoc.asp?DDFDocuments/t/G/SPS/NBDI63A1.DOCX")</f>
      </c>
      <c r="P699" s="6">
        <f>HYPERLINK("https://docs.wto.org/imrd/directdoc.asp?DDFDocuments/u/G/SPS/NBDI63A1.DOCX", "https://docs.wto.org/imrd/directdoc.asp?DDFDocuments/u/G/SPS/NBDI63A1.DOCX")</f>
      </c>
      <c r="Q699" s="6">
        <f>HYPERLINK("https://docs.wto.org/imrd/directdoc.asp?DDFDocuments/v/G/SPS/NBDI63A1.DOCX", "https://docs.wto.org/imrd/directdoc.asp?DDFDocuments/v/G/SPS/NBDI63A1.DOCX")</f>
      </c>
    </row>
    <row r="700">
      <c r="A700" s="6" t="s">
        <v>2030</v>
      </c>
      <c r="B700" s="7">
        <v>45512</v>
      </c>
      <c r="C700" s="6">
        <f>HYPERLINK("https://eping.wto.org/en/Search?viewData= G/SPS/N/BDI/63/Add.1, G/SPS/N/KEN/219/Add.1, G/SPS/N/RWA/56/Add.1, G/SPS/N/TZA/285/Add.1, G/SPS/N/UGA/260/Add.1"," G/SPS/N/BDI/63/Add.1, G/SPS/N/KEN/219/Add.1, G/SPS/N/RWA/56/Add.1, G/SPS/N/TZA/285/Add.1, G/SPS/N/UGA/260/Add.1")</f>
      </c>
      <c r="D700" s="8" t="s">
        <v>2553</v>
      </c>
      <c r="E700" s="8" t="s">
        <v>2581</v>
      </c>
      <c r="F700" s="8" t="s">
        <v>2545</v>
      </c>
      <c r="G700" s="6" t="s">
        <v>2546</v>
      </c>
      <c r="H700" s="6" t="s">
        <v>2547</v>
      </c>
      <c r="I700" s="6" t="s">
        <v>2312</v>
      </c>
      <c r="J700" s="6" t="s">
        <v>2548</v>
      </c>
      <c r="K700" s="6"/>
      <c r="L700" s="7" t="s">
        <v>40</v>
      </c>
      <c r="M700" s="6" t="s">
        <v>76</v>
      </c>
      <c r="N700" s="6"/>
      <c r="O700" s="6">
        <f>HYPERLINK("https://docs.wto.org/imrd/directdoc.asp?DDFDocuments/t/G/SPS/NBDI63A1.DOCX", "https://docs.wto.org/imrd/directdoc.asp?DDFDocuments/t/G/SPS/NBDI63A1.DOCX")</f>
      </c>
      <c r="P700" s="6">
        <f>HYPERLINK("https://docs.wto.org/imrd/directdoc.asp?DDFDocuments/u/G/SPS/NBDI63A1.DOCX", "https://docs.wto.org/imrd/directdoc.asp?DDFDocuments/u/G/SPS/NBDI63A1.DOCX")</f>
      </c>
      <c r="Q700" s="6">
        <f>HYPERLINK("https://docs.wto.org/imrd/directdoc.asp?DDFDocuments/v/G/SPS/NBDI63A1.DOCX", "https://docs.wto.org/imrd/directdoc.asp?DDFDocuments/v/G/SPS/NBDI63A1.DOCX")</f>
      </c>
    </row>
    <row r="701">
      <c r="A701" s="6" t="s">
        <v>2030</v>
      </c>
      <c r="B701" s="7">
        <v>45512</v>
      </c>
      <c r="C701" s="6">
        <f>HYPERLINK("https://eping.wto.org/en/Search?viewData= G/SPS/N/BDI/28/Add.1, G/SPS/N/KEN/181/Add.1, G/SPS/N/RWA/21/Add.1, G/SPS/N/TZA/214/Add.1, G/SPS/N/UGA/223/Add.1"," G/SPS/N/BDI/28/Add.1, G/SPS/N/KEN/181/Add.1, G/SPS/N/RWA/21/Add.1, G/SPS/N/TZA/214/Add.1, G/SPS/N/UGA/223/Add.1")</f>
      </c>
      <c r="D701" s="8" t="s">
        <v>2573</v>
      </c>
      <c r="E701" s="8" t="s">
        <v>2574</v>
      </c>
      <c r="F701" s="8" t="s">
        <v>2575</v>
      </c>
      <c r="G701" s="6" t="s">
        <v>2401</v>
      </c>
      <c r="H701" s="6" t="s">
        <v>2402</v>
      </c>
      <c r="I701" s="6" t="s">
        <v>2312</v>
      </c>
      <c r="J701" s="6" t="s">
        <v>1663</v>
      </c>
      <c r="K701" s="6"/>
      <c r="L701" s="7" t="s">
        <v>40</v>
      </c>
      <c r="M701" s="6" t="s">
        <v>76</v>
      </c>
      <c r="N701" s="6"/>
      <c r="O701" s="6">
        <f>HYPERLINK("https://docs.wto.org/imrd/directdoc.asp?DDFDocuments/t/G/SPS/NBDI28A1.DOCX", "https://docs.wto.org/imrd/directdoc.asp?DDFDocuments/t/G/SPS/NBDI28A1.DOCX")</f>
      </c>
      <c r="P701" s="6">
        <f>HYPERLINK("https://docs.wto.org/imrd/directdoc.asp?DDFDocuments/u/G/SPS/NBDI28A1.DOCX", "https://docs.wto.org/imrd/directdoc.asp?DDFDocuments/u/G/SPS/NBDI28A1.DOCX")</f>
      </c>
      <c r="Q701" s="6">
        <f>HYPERLINK("https://docs.wto.org/imrd/directdoc.asp?DDFDocuments/v/G/SPS/NBDI28A1.DOCX", "https://docs.wto.org/imrd/directdoc.asp?DDFDocuments/v/G/SPS/NBDI28A1.DOCX")</f>
      </c>
    </row>
    <row r="702">
      <c r="A702" s="6" t="s">
        <v>2024</v>
      </c>
      <c r="B702" s="7">
        <v>45512</v>
      </c>
      <c r="C702" s="6">
        <f>HYPERLINK("https://eping.wto.org/en/Search?viewData= G/SPS/N/BDI/62/Add.1, G/SPS/N/KEN/218/Add.1, G/SPS/N/RWA/55/Add.1, G/SPS/N/TZA/284/Add.1, G/SPS/N/UGA/259/Add.1"," G/SPS/N/BDI/62/Add.1, G/SPS/N/KEN/218/Add.1, G/SPS/N/RWA/55/Add.1, G/SPS/N/TZA/284/Add.1, G/SPS/N/UGA/259/Add.1")</f>
      </c>
      <c r="D702" s="8" t="s">
        <v>2543</v>
      </c>
      <c r="E702" s="8" t="s">
        <v>2544</v>
      </c>
      <c r="F702" s="8" t="s">
        <v>2545</v>
      </c>
      <c r="G702" s="6" t="s">
        <v>2546</v>
      </c>
      <c r="H702" s="6" t="s">
        <v>2547</v>
      </c>
      <c r="I702" s="6" t="s">
        <v>38</v>
      </c>
      <c r="J702" s="6" t="s">
        <v>1533</v>
      </c>
      <c r="K702" s="6"/>
      <c r="L702" s="7" t="s">
        <v>40</v>
      </c>
      <c r="M702" s="6" t="s">
        <v>76</v>
      </c>
      <c r="N702" s="6"/>
      <c r="O702" s="6">
        <f>HYPERLINK("https://docs.wto.org/imrd/directdoc.asp?DDFDocuments/t/G/SPS/NBDI62A1.DOCX", "https://docs.wto.org/imrd/directdoc.asp?DDFDocuments/t/G/SPS/NBDI62A1.DOCX")</f>
      </c>
      <c r="P702" s="6">
        <f>HYPERLINK("https://docs.wto.org/imrd/directdoc.asp?DDFDocuments/u/G/SPS/NBDI62A1.DOCX", "https://docs.wto.org/imrd/directdoc.asp?DDFDocuments/u/G/SPS/NBDI62A1.DOCX")</f>
      </c>
      <c r="Q702" s="6">
        <f>HYPERLINK("https://docs.wto.org/imrd/directdoc.asp?DDFDocuments/v/G/SPS/NBDI62A1.DOCX", "https://docs.wto.org/imrd/directdoc.asp?DDFDocuments/v/G/SPS/NBDI62A1.DOCX")</f>
      </c>
    </row>
    <row r="703">
      <c r="A703" s="6" t="s">
        <v>17</v>
      </c>
      <c r="B703" s="7">
        <v>45512</v>
      </c>
      <c r="C703" s="6">
        <f>HYPERLINK("https://eping.wto.org/en/Search?viewData= G/SPS/N/BDI/28/Add.1, G/SPS/N/KEN/181/Add.1, G/SPS/N/RWA/21/Add.1, G/SPS/N/TZA/214/Add.1, G/SPS/N/UGA/223/Add.1"," G/SPS/N/BDI/28/Add.1, G/SPS/N/KEN/181/Add.1, G/SPS/N/RWA/21/Add.1, G/SPS/N/TZA/214/Add.1, G/SPS/N/UGA/223/Add.1")</f>
      </c>
      <c r="D703" s="8" t="s">
        <v>2573</v>
      </c>
      <c r="E703" s="8" t="s">
        <v>2574</v>
      </c>
      <c r="F703" s="8" t="s">
        <v>2575</v>
      </c>
      <c r="G703" s="6" t="s">
        <v>2401</v>
      </c>
      <c r="H703" s="6" t="s">
        <v>2402</v>
      </c>
      <c r="I703" s="6" t="s">
        <v>2312</v>
      </c>
      <c r="J703" s="6" t="s">
        <v>1663</v>
      </c>
      <c r="K703" s="6"/>
      <c r="L703" s="7" t="s">
        <v>40</v>
      </c>
      <c r="M703" s="6" t="s">
        <v>76</v>
      </c>
      <c r="N703" s="6"/>
      <c r="O703" s="6">
        <f>HYPERLINK("https://docs.wto.org/imrd/directdoc.asp?DDFDocuments/t/G/SPS/NBDI28A1.DOCX", "https://docs.wto.org/imrd/directdoc.asp?DDFDocuments/t/G/SPS/NBDI28A1.DOCX")</f>
      </c>
      <c r="P703" s="6">
        <f>HYPERLINK("https://docs.wto.org/imrd/directdoc.asp?DDFDocuments/u/G/SPS/NBDI28A1.DOCX", "https://docs.wto.org/imrd/directdoc.asp?DDFDocuments/u/G/SPS/NBDI28A1.DOCX")</f>
      </c>
      <c r="Q703" s="6">
        <f>HYPERLINK("https://docs.wto.org/imrd/directdoc.asp?DDFDocuments/v/G/SPS/NBDI28A1.DOCX", "https://docs.wto.org/imrd/directdoc.asp?DDFDocuments/v/G/SPS/NBDI28A1.DOCX")</f>
      </c>
    </row>
    <row r="704">
      <c r="A704" s="6" t="s">
        <v>2024</v>
      </c>
      <c r="B704" s="7">
        <v>45512</v>
      </c>
      <c r="C704" s="6">
        <f>HYPERLINK("https://eping.wto.org/en/Search?viewData= G/SPS/N/BDI/29/Add.1, G/SPS/N/KEN/182/Add.1, G/SPS/N/RWA/22/Add.1, G/SPS/N/TZA/215/Add.1, G/SPS/N/UGA/224/Add.1"," G/SPS/N/BDI/29/Add.1, G/SPS/N/KEN/182/Add.1, G/SPS/N/RWA/22/Add.1, G/SPS/N/TZA/215/Add.1, G/SPS/N/UGA/224/Add.1")</f>
      </c>
      <c r="D704" s="8" t="s">
        <v>2419</v>
      </c>
      <c r="E704" s="8" t="s">
        <v>2551</v>
      </c>
      <c r="F704" s="8" t="s">
        <v>2552</v>
      </c>
      <c r="G704" s="6" t="s">
        <v>2422</v>
      </c>
      <c r="H704" s="6" t="s">
        <v>2402</v>
      </c>
      <c r="I704" s="6" t="s">
        <v>2312</v>
      </c>
      <c r="J704" s="6" t="s">
        <v>1460</v>
      </c>
      <c r="K704" s="6"/>
      <c r="L704" s="7" t="s">
        <v>40</v>
      </c>
      <c r="M704" s="6" t="s">
        <v>76</v>
      </c>
      <c r="N704" s="6"/>
      <c r="O704" s="6">
        <f>HYPERLINK("https://docs.wto.org/imrd/directdoc.asp?DDFDocuments/t/G/SPS/NBDI29A1.DOCX", "https://docs.wto.org/imrd/directdoc.asp?DDFDocuments/t/G/SPS/NBDI29A1.DOCX")</f>
      </c>
      <c r="P704" s="6">
        <f>HYPERLINK("https://docs.wto.org/imrd/directdoc.asp?DDFDocuments/u/G/SPS/NBDI29A1.DOCX", "https://docs.wto.org/imrd/directdoc.asp?DDFDocuments/u/G/SPS/NBDI29A1.DOCX")</f>
      </c>
      <c r="Q704" s="6">
        <f>HYPERLINK("https://docs.wto.org/imrd/directdoc.asp?DDFDocuments/v/G/SPS/NBDI29A1.DOCX", "https://docs.wto.org/imrd/directdoc.asp?DDFDocuments/v/G/SPS/NBDI29A1.DOCX")</f>
      </c>
    </row>
    <row r="705">
      <c r="A705" s="6" t="s">
        <v>2041</v>
      </c>
      <c r="B705" s="7">
        <v>45512</v>
      </c>
      <c r="C705" s="6">
        <f>HYPERLINK("https://eping.wto.org/en/Search?viewData= G/SPS/N/BDI/63/Add.1, G/SPS/N/KEN/219/Add.1, G/SPS/N/RWA/56/Add.1, G/SPS/N/TZA/285/Add.1, G/SPS/N/UGA/260/Add.1"," G/SPS/N/BDI/63/Add.1, G/SPS/N/KEN/219/Add.1, G/SPS/N/RWA/56/Add.1, G/SPS/N/TZA/285/Add.1, G/SPS/N/UGA/260/Add.1")</f>
      </c>
      <c r="D705" s="8" t="s">
        <v>2553</v>
      </c>
      <c r="E705" s="8" t="s">
        <v>2581</v>
      </c>
      <c r="F705" s="8" t="s">
        <v>2545</v>
      </c>
      <c r="G705" s="6" t="s">
        <v>2546</v>
      </c>
      <c r="H705" s="6" t="s">
        <v>2547</v>
      </c>
      <c r="I705" s="6" t="s">
        <v>2312</v>
      </c>
      <c r="J705" s="6" t="s">
        <v>2548</v>
      </c>
      <c r="K705" s="6"/>
      <c r="L705" s="7" t="s">
        <v>40</v>
      </c>
      <c r="M705" s="6" t="s">
        <v>76</v>
      </c>
      <c r="N705" s="6"/>
      <c r="O705" s="6">
        <f>HYPERLINK("https://docs.wto.org/imrd/directdoc.asp?DDFDocuments/t/G/SPS/NBDI63A1.DOCX", "https://docs.wto.org/imrd/directdoc.asp?DDFDocuments/t/G/SPS/NBDI63A1.DOCX")</f>
      </c>
      <c r="P705" s="6">
        <f>HYPERLINK("https://docs.wto.org/imrd/directdoc.asp?DDFDocuments/u/G/SPS/NBDI63A1.DOCX", "https://docs.wto.org/imrd/directdoc.asp?DDFDocuments/u/G/SPS/NBDI63A1.DOCX")</f>
      </c>
      <c r="Q705" s="6">
        <f>HYPERLINK("https://docs.wto.org/imrd/directdoc.asp?DDFDocuments/v/G/SPS/NBDI63A1.DOCX", "https://docs.wto.org/imrd/directdoc.asp?DDFDocuments/v/G/SPS/NBDI63A1.DOCX")</f>
      </c>
    </row>
    <row r="706">
      <c r="A706" s="6" t="s">
        <v>880</v>
      </c>
      <c r="B706" s="7">
        <v>45512</v>
      </c>
      <c r="C706" s="6">
        <f>HYPERLINK("https://eping.wto.org/en/Search?viewData= G/SPS/N/BDI/29/Add.1, G/SPS/N/KEN/182/Add.1, G/SPS/N/RWA/22/Add.1, G/SPS/N/TZA/215/Add.1, G/SPS/N/UGA/224/Add.1"," G/SPS/N/BDI/29/Add.1, G/SPS/N/KEN/182/Add.1, G/SPS/N/RWA/22/Add.1, G/SPS/N/TZA/215/Add.1, G/SPS/N/UGA/224/Add.1")</f>
      </c>
      <c r="D706" s="8" t="s">
        <v>2419</v>
      </c>
      <c r="E706" s="8" t="s">
        <v>2551</v>
      </c>
      <c r="F706" s="8" t="s">
        <v>2552</v>
      </c>
      <c r="G706" s="6" t="s">
        <v>2422</v>
      </c>
      <c r="H706" s="6" t="s">
        <v>2402</v>
      </c>
      <c r="I706" s="6" t="s">
        <v>38</v>
      </c>
      <c r="J706" s="6" t="s">
        <v>1663</v>
      </c>
      <c r="K706" s="6"/>
      <c r="L706" s="7" t="s">
        <v>40</v>
      </c>
      <c r="M706" s="6" t="s">
        <v>76</v>
      </c>
      <c r="N706" s="6"/>
      <c r="O706" s="6">
        <f>HYPERLINK("https://docs.wto.org/imrd/directdoc.asp?DDFDocuments/t/G/SPS/NBDI29A1.DOCX", "https://docs.wto.org/imrd/directdoc.asp?DDFDocuments/t/G/SPS/NBDI29A1.DOCX")</f>
      </c>
      <c r="P706" s="6">
        <f>HYPERLINK("https://docs.wto.org/imrd/directdoc.asp?DDFDocuments/u/G/SPS/NBDI29A1.DOCX", "https://docs.wto.org/imrd/directdoc.asp?DDFDocuments/u/G/SPS/NBDI29A1.DOCX")</f>
      </c>
      <c r="Q706" s="6">
        <f>HYPERLINK("https://docs.wto.org/imrd/directdoc.asp?DDFDocuments/v/G/SPS/NBDI29A1.DOCX", "https://docs.wto.org/imrd/directdoc.asp?DDFDocuments/v/G/SPS/NBDI29A1.DOCX")</f>
      </c>
    </row>
    <row r="707">
      <c r="A707" s="6" t="s">
        <v>880</v>
      </c>
      <c r="B707" s="7">
        <v>45512</v>
      </c>
      <c r="C707" s="6">
        <f>HYPERLINK("https://eping.wto.org/en/Search?viewData= G/SPS/N/BDI/60/Add.1, G/SPS/N/KEN/216/Add.1, G/SPS/N/RWA/53/Add.1, G/SPS/N/TZA/282/Add.1, G/SPS/N/UGA/257/Add.1"," G/SPS/N/BDI/60/Add.1, G/SPS/N/KEN/216/Add.1, G/SPS/N/RWA/53/Add.1, G/SPS/N/TZA/282/Add.1, G/SPS/N/UGA/257/Add.1")</f>
      </c>
      <c r="D707" s="8" t="s">
        <v>2549</v>
      </c>
      <c r="E707" s="8" t="s">
        <v>2550</v>
      </c>
      <c r="F707" s="8" t="s">
        <v>2545</v>
      </c>
      <c r="G707" s="6" t="s">
        <v>2546</v>
      </c>
      <c r="H707" s="6" t="s">
        <v>2547</v>
      </c>
      <c r="I707" s="6" t="s">
        <v>38</v>
      </c>
      <c r="J707" s="6" t="s">
        <v>1663</v>
      </c>
      <c r="K707" s="6"/>
      <c r="L707" s="7" t="s">
        <v>40</v>
      </c>
      <c r="M707" s="6" t="s">
        <v>76</v>
      </c>
      <c r="N707" s="6"/>
      <c r="O707" s="6">
        <f>HYPERLINK("https://docs.wto.org/imrd/directdoc.asp?DDFDocuments/t/G/SPS/NBDI60A1.DOCX", "https://docs.wto.org/imrd/directdoc.asp?DDFDocuments/t/G/SPS/NBDI60A1.DOCX")</f>
      </c>
      <c r="P707" s="6">
        <f>HYPERLINK("https://docs.wto.org/imrd/directdoc.asp?DDFDocuments/u/G/SPS/NBDI60A1.DOCX", "https://docs.wto.org/imrd/directdoc.asp?DDFDocuments/u/G/SPS/NBDI60A1.DOCX")</f>
      </c>
      <c r="Q707" s="6">
        <f>HYPERLINK("https://docs.wto.org/imrd/directdoc.asp?DDFDocuments/v/G/SPS/NBDI60A1.DOCX", "https://docs.wto.org/imrd/directdoc.asp?DDFDocuments/v/G/SPS/NBDI60A1.DOCX")</f>
      </c>
    </row>
    <row r="708">
      <c r="A708" s="6" t="s">
        <v>2030</v>
      </c>
      <c r="B708" s="7">
        <v>45512</v>
      </c>
      <c r="C708" s="6">
        <f>HYPERLINK("https://eping.wto.org/en/Search?viewData= G/TBT/N/BDI/390/Add.1, G/TBT/N/KEN/1470/Add.1, G/TBT/N/RWA/902/Add.1, G/TBT/N/TZA/1004/Add.1, G/TBT/N/UGA/1809/Add.1"," G/TBT/N/BDI/390/Add.1, G/TBT/N/KEN/1470/Add.1, G/TBT/N/RWA/902/Add.1, G/TBT/N/TZA/1004/Add.1, G/TBT/N/UGA/1809/Add.1")</f>
      </c>
      <c r="D708" s="8" t="s">
        <v>2553</v>
      </c>
      <c r="E708" s="8" t="s">
        <v>2554</v>
      </c>
      <c r="F708" s="8" t="s">
        <v>2555</v>
      </c>
      <c r="G708" s="6" t="s">
        <v>2546</v>
      </c>
      <c r="H708" s="6" t="s">
        <v>2547</v>
      </c>
      <c r="I708" s="6" t="s">
        <v>2456</v>
      </c>
      <c r="J708" s="6" t="s">
        <v>122</v>
      </c>
      <c r="K708" s="6"/>
      <c r="L708" s="7" t="s">
        <v>40</v>
      </c>
      <c r="M708" s="6" t="s">
        <v>76</v>
      </c>
      <c r="N708" s="6"/>
      <c r="O708" s="6">
        <f>HYPERLINK("https://docs.wto.org/imrd/directdoc.asp?DDFDocuments/t/G/TBTN23/BDI390A1.DOCX", "https://docs.wto.org/imrd/directdoc.asp?DDFDocuments/t/G/TBTN23/BDI390A1.DOCX")</f>
      </c>
      <c r="P708" s="6">
        <f>HYPERLINK("https://docs.wto.org/imrd/directdoc.asp?DDFDocuments/u/G/TBTN23/BDI390A1.DOCX", "https://docs.wto.org/imrd/directdoc.asp?DDFDocuments/u/G/TBTN23/BDI390A1.DOCX")</f>
      </c>
      <c r="Q708" s="6">
        <f>HYPERLINK("https://docs.wto.org/imrd/directdoc.asp?DDFDocuments/v/G/TBTN23/BDI390A1.DOCX", "https://docs.wto.org/imrd/directdoc.asp?DDFDocuments/v/G/TBTN23/BDI390A1.DOCX")</f>
      </c>
    </row>
    <row r="709">
      <c r="A709" s="6" t="s">
        <v>2024</v>
      </c>
      <c r="B709" s="7">
        <v>45512</v>
      </c>
      <c r="C709" s="6">
        <f>HYPERLINK("https://eping.wto.org/en/Search?viewData= G/SPS/N/BDI/27/Add.1, G/SPS/N/KEN/180/Add.1, G/SPS/N/RWA/20/Add.1, G/SPS/N/TZA/213/Add.1, G/SPS/N/UGA/222/Add.1"," G/SPS/N/BDI/27/Add.1, G/SPS/N/KEN/180/Add.1, G/SPS/N/RWA/20/Add.1, G/SPS/N/TZA/213/Add.1, G/SPS/N/UGA/222/Add.1")</f>
      </c>
      <c r="D709" s="8" t="s">
        <v>2438</v>
      </c>
      <c r="E709" s="8" t="s">
        <v>2582</v>
      </c>
      <c r="F709" s="8" t="s">
        <v>2583</v>
      </c>
      <c r="G709" s="6" t="s">
        <v>2441</v>
      </c>
      <c r="H709" s="6" t="s">
        <v>2402</v>
      </c>
      <c r="I709" s="6" t="s">
        <v>2312</v>
      </c>
      <c r="J709" s="6" t="s">
        <v>1460</v>
      </c>
      <c r="K709" s="6"/>
      <c r="L709" s="7" t="s">
        <v>40</v>
      </c>
      <c r="M709" s="6" t="s">
        <v>76</v>
      </c>
      <c r="N709" s="6"/>
      <c r="O709" s="6">
        <f>HYPERLINK("https://docs.wto.org/imrd/directdoc.asp?DDFDocuments/t/G/SPS/NBDI27A1.DOCX", "https://docs.wto.org/imrd/directdoc.asp?DDFDocuments/t/G/SPS/NBDI27A1.DOCX")</f>
      </c>
      <c r="P709" s="6">
        <f>HYPERLINK("https://docs.wto.org/imrd/directdoc.asp?DDFDocuments/u/G/SPS/NBDI27A1.DOCX", "https://docs.wto.org/imrd/directdoc.asp?DDFDocuments/u/G/SPS/NBDI27A1.DOCX")</f>
      </c>
      <c r="Q709" s="6">
        <f>HYPERLINK("https://docs.wto.org/imrd/directdoc.asp?DDFDocuments/v/G/SPS/NBDI27A1.DOCX", "https://docs.wto.org/imrd/directdoc.asp?DDFDocuments/v/G/SPS/NBDI27A1.DOCX")</f>
      </c>
    </row>
    <row r="710">
      <c r="A710" s="6" t="s">
        <v>2041</v>
      </c>
      <c r="B710" s="7">
        <v>45512</v>
      </c>
      <c r="C710" s="6">
        <f>HYPERLINK("https://eping.wto.org/en/Search?viewData= G/SPS/N/BDI/27/Add.1, G/SPS/N/KEN/180/Add.1, G/SPS/N/RWA/20/Add.1, G/SPS/N/TZA/213/Add.1, G/SPS/N/UGA/222/Add.1"," G/SPS/N/BDI/27/Add.1, G/SPS/N/KEN/180/Add.1, G/SPS/N/RWA/20/Add.1, G/SPS/N/TZA/213/Add.1, G/SPS/N/UGA/222/Add.1")</f>
      </c>
      <c r="D710" s="8" t="s">
        <v>2438</v>
      </c>
      <c r="E710" s="8" t="s">
        <v>2582</v>
      </c>
      <c r="F710" s="8" t="s">
        <v>2583</v>
      </c>
      <c r="G710" s="6" t="s">
        <v>2441</v>
      </c>
      <c r="H710" s="6" t="s">
        <v>2402</v>
      </c>
      <c r="I710" s="6" t="s">
        <v>2312</v>
      </c>
      <c r="J710" s="6" t="s">
        <v>1663</v>
      </c>
      <c r="K710" s="6"/>
      <c r="L710" s="7" t="s">
        <v>40</v>
      </c>
      <c r="M710" s="6" t="s">
        <v>76</v>
      </c>
      <c r="N710" s="6"/>
      <c r="O710" s="6">
        <f>HYPERLINK("https://docs.wto.org/imrd/directdoc.asp?DDFDocuments/t/G/SPS/NBDI27A1.DOCX", "https://docs.wto.org/imrd/directdoc.asp?DDFDocuments/t/G/SPS/NBDI27A1.DOCX")</f>
      </c>
      <c r="P710" s="6">
        <f>HYPERLINK("https://docs.wto.org/imrd/directdoc.asp?DDFDocuments/u/G/SPS/NBDI27A1.DOCX", "https://docs.wto.org/imrd/directdoc.asp?DDFDocuments/u/G/SPS/NBDI27A1.DOCX")</f>
      </c>
      <c r="Q710" s="6">
        <f>HYPERLINK("https://docs.wto.org/imrd/directdoc.asp?DDFDocuments/v/G/SPS/NBDI27A1.DOCX", "https://docs.wto.org/imrd/directdoc.asp?DDFDocuments/v/G/SPS/NBDI27A1.DOCX")</f>
      </c>
    </row>
    <row r="711">
      <c r="A711" s="6" t="s">
        <v>880</v>
      </c>
      <c r="B711" s="7">
        <v>45512</v>
      </c>
      <c r="C711" s="6">
        <f>HYPERLINK("https://eping.wto.org/en/Search?viewData= G/SPS/N/BDI/61/Add.1, G/SPS/N/KEN/217/Add.1, G/SPS/N/RWA/54/Add.1, G/SPS/N/TZA/283/Add.1, G/SPS/N/UGA/258/Add.1"," G/SPS/N/BDI/61/Add.1, G/SPS/N/KEN/217/Add.1, G/SPS/N/RWA/54/Add.1, G/SPS/N/TZA/283/Add.1, G/SPS/N/UGA/258/Add.1")</f>
      </c>
      <c r="D711" s="8" t="s">
        <v>2571</v>
      </c>
      <c r="E711" s="8" t="s">
        <v>2572</v>
      </c>
      <c r="F711" s="8" t="s">
        <v>2545</v>
      </c>
      <c r="G711" s="6" t="s">
        <v>2546</v>
      </c>
      <c r="H711" s="6" t="s">
        <v>2547</v>
      </c>
      <c r="I711" s="6" t="s">
        <v>38</v>
      </c>
      <c r="J711" s="6" t="s">
        <v>2589</v>
      </c>
      <c r="K711" s="6"/>
      <c r="L711" s="7" t="s">
        <v>40</v>
      </c>
      <c r="M711" s="6" t="s">
        <v>76</v>
      </c>
      <c r="N711" s="6"/>
      <c r="O711" s="6">
        <f>HYPERLINK("https://docs.wto.org/imrd/directdoc.asp?DDFDocuments/t/G/SPS/NBDI61A1.DOCX", "https://docs.wto.org/imrd/directdoc.asp?DDFDocuments/t/G/SPS/NBDI61A1.DOCX")</f>
      </c>
      <c r="P711" s="6">
        <f>HYPERLINK("https://docs.wto.org/imrd/directdoc.asp?DDFDocuments/u/G/SPS/NBDI61A1.DOCX", "https://docs.wto.org/imrd/directdoc.asp?DDFDocuments/u/G/SPS/NBDI61A1.DOCX")</f>
      </c>
      <c r="Q711" s="6">
        <f>HYPERLINK("https://docs.wto.org/imrd/directdoc.asp?DDFDocuments/v/G/SPS/NBDI61A1.DOCX", "https://docs.wto.org/imrd/directdoc.asp?DDFDocuments/v/G/SPS/NBDI61A1.DOCX")</f>
      </c>
    </row>
    <row r="712">
      <c r="A712" s="6" t="s">
        <v>2024</v>
      </c>
      <c r="B712" s="7">
        <v>45512</v>
      </c>
      <c r="C712" s="6">
        <f>HYPERLINK("https://eping.wto.org/en/Search?viewData= G/TBT/N/BDI/387/Add.1, G/TBT/N/KEN/1467/Add.1, G/TBT/N/RWA/899/Add.1, G/TBT/N/TZA/1001/Add.1, G/TBT/N/UGA/1806/Add.1"," G/TBT/N/BDI/387/Add.1, G/TBT/N/KEN/1467/Add.1, G/TBT/N/RWA/899/Add.1, G/TBT/N/TZA/1001/Add.1, G/TBT/N/UGA/1806/Add.1")</f>
      </c>
      <c r="D712" s="8" t="s">
        <v>2563</v>
      </c>
      <c r="E712" s="8" t="s">
        <v>2564</v>
      </c>
      <c r="F712" s="8" t="s">
        <v>2555</v>
      </c>
      <c r="G712" s="6" t="s">
        <v>2546</v>
      </c>
      <c r="H712" s="6" t="s">
        <v>2547</v>
      </c>
      <c r="I712" s="6" t="s">
        <v>2456</v>
      </c>
      <c r="J712" s="6" t="s">
        <v>122</v>
      </c>
      <c r="K712" s="6"/>
      <c r="L712" s="7" t="s">
        <v>40</v>
      </c>
      <c r="M712" s="6" t="s">
        <v>76</v>
      </c>
      <c r="N712" s="6"/>
      <c r="O712" s="6">
        <f>HYPERLINK("https://docs.wto.org/imrd/directdoc.asp?DDFDocuments/t/G/TBTN23/BDI387A1.DOCX", "https://docs.wto.org/imrd/directdoc.asp?DDFDocuments/t/G/TBTN23/BDI387A1.DOCX")</f>
      </c>
      <c r="P712" s="6">
        <f>HYPERLINK("https://docs.wto.org/imrd/directdoc.asp?DDFDocuments/u/G/TBTN23/BDI387A1.DOCX", "https://docs.wto.org/imrd/directdoc.asp?DDFDocuments/u/G/TBTN23/BDI387A1.DOCX")</f>
      </c>
      <c r="Q712" s="6">
        <f>HYPERLINK("https://docs.wto.org/imrd/directdoc.asp?DDFDocuments/v/G/TBTN23/BDI387A1.DOCX", "https://docs.wto.org/imrd/directdoc.asp?DDFDocuments/v/G/TBTN23/BDI387A1.DOCX")</f>
      </c>
    </row>
    <row r="713">
      <c r="A713" s="6" t="s">
        <v>17</v>
      </c>
      <c r="B713" s="7">
        <v>45512</v>
      </c>
      <c r="C713" s="6">
        <f>HYPERLINK("https://eping.wto.org/en/Search?viewData= G/TBT/N/BDI/380/Add.1, G/TBT/N/KEN/1460/Add.1, G/TBT/N/RWA/892/Add.1, G/TBT/N/TZA/994/Add.1, G/TBT/N/UGA/1797/Add.1"," G/TBT/N/BDI/380/Add.1, G/TBT/N/KEN/1460/Add.1, G/TBT/N/RWA/892/Add.1, G/TBT/N/TZA/994/Add.1, G/TBT/N/UGA/1797/Add.1")</f>
      </c>
      <c r="D713" s="8" t="s">
        <v>2566</v>
      </c>
      <c r="E713" s="8" t="s">
        <v>2567</v>
      </c>
      <c r="F713" s="8" t="s">
        <v>2568</v>
      </c>
      <c r="G713" s="6" t="s">
        <v>2569</v>
      </c>
      <c r="H713" s="6" t="s">
        <v>2570</v>
      </c>
      <c r="I713" s="6" t="s">
        <v>2392</v>
      </c>
      <c r="J713" s="6" t="s">
        <v>40</v>
      </c>
      <c r="K713" s="6"/>
      <c r="L713" s="7" t="s">
        <v>40</v>
      </c>
      <c r="M713" s="6" t="s">
        <v>76</v>
      </c>
      <c r="N713" s="6"/>
      <c r="O713" s="6">
        <f>HYPERLINK("https://docs.wto.org/imrd/directdoc.asp?DDFDocuments/t/G/TBTN23/BDI380A1.DOCX", "https://docs.wto.org/imrd/directdoc.asp?DDFDocuments/t/G/TBTN23/BDI380A1.DOCX")</f>
      </c>
      <c r="P713" s="6">
        <f>HYPERLINK("https://docs.wto.org/imrd/directdoc.asp?DDFDocuments/u/G/TBTN23/BDI380A1.DOCX", "https://docs.wto.org/imrd/directdoc.asp?DDFDocuments/u/G/TBTN23/BDI380A1.DOCX")</f>
      </c>
      <c r="Q713" s="6">
        <f>HYPERLINK("https://docs.wto.org/imrd/directdoc.asp?DDFDocuments/v/G/TBTN23/BDI380A1.DOCX", "https://docs.wto.org/imrd/directdoc.asp?DDFDocuments/v/G/TBTN23/BDI380A1.DOCX")</f>
      </c>
    </row>
    <row r="714">
      <c r="A714" s="6" t="s">
        <v>2030</v>
      </c>
      <c r="B714" s="7">
        <v>45512</v>
      </c>
      <c r="C714" s="6">
        <f>HYPERLINK("https://eping.wto.org/en/Search?viewData= G/SPS/N/BDI/61/Add.1, G/SPS/N/KEN/217/Add.1, G/SPS/N/RWA/54/Add.1, G/SPS/N/TZA/283/Add.1, G/SPS/N/UGA/258/Add.1"," G/SPS/N/BDI/61/Add.1, G/SPS/N/KEN/217/Add.1, G/SPS/N/RWA/54/Add.1, G/SPS/N/TZA/283/Add.1, G/SPS/N/UGA/258/Add.1")</f>
      </c>
      <c r="D714" s="8" t="s">
        <v>2571</v>
      </c>
      <c r="E714" s="8" t="s">
        <v>2572</v>
      </c>
      <c r="F714" s="8" t="s">
        <v>2545</v>
      </c>
      <c r="G714" s="6" t="s">
        <v>2546</v>
      </c>
      <c r="H714" s="6" t="s">
        <v>2547</v>
      </c>
      <c r="I714" s="6" t="s">
        <v>2312</v>
      </c>
      <c r="J714" s="6" t="s">
        <v>1663</v>
      </c>
      <c r="K714" s="6"/>
      <c r="L714" s="7" t="s">
        <v>40</v>
      </c>
      <c r="M714" s="6" t="s">
        <v>76</v>
      </c>
      <c r="N714" s="6"/>
      <c r="O714" s="6">
        <f>HYPERLINK("https://docs.wto.org/imrd/directdoc.asp?DDFDocuments/t/G/SPS/NBDI61A1.DOCX", "https://docs.wto.org/imrd/directdoc.asp?DDFDocuments/t/G/SPS/NBDI61A1.DOCX")</f>
      </c>
      <c r="P714" s="6">
        <f>HYPERLINK("https://docs.wto.org/imrd/directdoc.asp?DDFDocuments/u/G/SPS/NBDI61A1.DOCX", "https://docs.wto.org/imrd/directdoc.asp?DDFDocuments/u/G/SPS/NBDI61A1.DOCX")</f>
      </c>
      <c r="Q714" s="6">
        <f>HYPERLINK("https://docs.wto.org/imrd/directdoc.asp?DDFDocuments/v/G/SPS/NBDI61A1.DOCX", "https://docs.wto.org/imrd/directdoc.asp?DDFDocuments/v/G/SPS/NBDI61A1.DOCX")</f>
      </c>
    </row>
    <row r="715">
      <c r="A715" s="6" t="s">
        <v>880</v>
      </c>
      <c r="B715" s="7">
        <v>45512</v>
      </c>
      <c r="C715" s="6">
        <f>HYPERLINK("https://eping.wto.org/en/Search?viewData= G/SPS/N/BDI/28/Add.1, G/SPS/N/KEN/181/Add.1, G/SPS/N/RWA/21/Add.1, G/SPS/N/TZA/214/Add.1, G/SPS/N/UGA/223/Add.1"," G/SPS/N/BDI/28/Add.1, G/SPS/N/KEN/181/Add.1, G/SPS/N/RWA/21/Add.1, G/SPS/N/TZA/214/Add.1, G/SPS/N/UGA/223/Add.1")</f>
      </c>
      <c r="D715" s="8" t="s">
        <v>2573</v>
      </c>
      <c r="E715" s="8" t="s">
        <v>2574</v>
      </c>
      <c r="F715" s="8" t="s">
        <v>2575</v>
      </c>
      <c r="G715" s="6" t="s">
        <v>2401</v>
      </c>
      <c r="H715" s="6" t="s">
        <v>2402</v>
      </c>
      <c r="I715" s="6" t="s">
        <v>38</v>
      </c>
      <c r="J715" s="6" t="s">
        <v>2589</v>
      </c>
      <c r="K715" s="6"/>
      <c r="L715" s="7" t="s">
        <v>40</v>
      </c>
      <c r="M715" s="6" t="s">
        <v>76</v>
      </c>
      <c r="N715" s="6"/>
      <c r="O715" s="6">
        <f>HYPERLINK("https://docs.wto.org/imrd/directdoc.asp?DDFDocuments/t/G/SPS/NBDI28A1.DOCX", "https://docs.wto.org/imrd/directdoc.asp?DDFDocuments/t/G/SPS/NBDI28A1.DOCX")</f>
      </c>
      <c r="P715" s="6">
        <f>HYPERLINK("https://docs.wto.org/imrd/directdoc.asp?DDFDocuments/u/G/SPS/NBDI28A1.DOCX", "https://docs.wto.org/imrd/directdoc.asp?DDFDocuments/u/G/SPS/NBDI28A1.DOCX")</f>
      </c>
      <c r="Q715" s="6">
        <f>HYPERLINK("https://docs.wto.org/imrd/directdoc.asp?DDFDocuments/v/G/SPS/NBDI28A1.DOCX", "https://docs.wto.org/imrd/directdoc.asp?DDFDocuments/v/G/SPS/NBDI28A1.DOCX")</f>
      </c>
    </row>
    <row r="716">
      <c r="A716" s="6" t="s">
        <v>17</v>
      </c>
      <c r="B716" s="7">
        <v>45512</v>
      </c>
      <c r="C716" s="6">
        <f>HYPERLINK("https://eping.wto.org/en/Search?viewData= G/SPS/N/BDI/60/Add.1, G/SPS/N/KEN/216/Add.1, G/SPS/N/RWA/53/Add.1, G/SPS/N/TZA/282/Add.1, G/SPS/N/UGA/257/Add.1"," G/SPS/N/BDI/60/Add.1, G/SPS/N/KEN/216/Add.1, G/SPS/N/RWA/53/Add.1, G/SPS/N/TZA/282/Add.1, G/SPS/N/UGA/257/Add.1")</f>
      </c>
      <c r="D716" s="8" t="s">
        <v>2549</v>
      </c>
      <c r="E716" s="8" t="s">
        <v>2550</v>
      </c>
      <c r="F716" s="8" t="s">
        <v>2545</v>
      </c>
      <c r="G716" s="6" t="s">
        <v>2546</v>
      </c>
      <c r="H716" s="6" t="s">
        <v>2547</v>
      </c>
      <c r="I716" s="6" t="s">
        <v>38</v>
      </c>
      <c r="J716" s="6" t="s">
        <v>1663</v>
      </c>
      <c r="K716" s="6"/>
      <c r="L716" s="7" t="s">
        <v>40</v>
      </c>
      <c r="M716" s="6" t="s">
        <v>76</v>
      </c>
      <c r="N716" s="6"/>
      <c r="O716" s="6">
        <f>HYPERLINK("https://docs.wto.org/imrd/directdoc.asp?DDFDocuments/t/G/SPS/NBDI60A1.DOCX", "https://docs.wto.org/imrd/directdoc.asp?DDFDocuments/t/G/SPS/NBDI60A1.DOCX")</f>
      </c>
      <c r="P716" s="6">
        <f>HYPERLINK("https://docs.wto.org/imrd/directdoc.asp?DDFDocuments/u/G/SPS/NBDI60A1.DOCX", "https://docs.wto.org/imrd/directdoc.asp?DDFDocuments/u/G/SPS/NBDI60A1.DOCX")</f>
      </c>
      <c r="Q716" s="6">
        <f>HYPERLINK("https://docs.wto.org/imrd/directdoc.asp?DDFDocuments/v/G/SPS/NBDI60A1.DOCX", "https://docs.wto.org/imrd/directdoc.asp?DDFDocuments/v/G/SPS/NBDI60A1.DOCX")</f>
      </c>
    </row>
    <row r="717">
      <c r="A717" s="6" t="s">
        <v>880</v>
      </c>
      <c r="B717" s="7">
        <v>45512</v>
      </c>
      <c r="C717" s="6">
        <f>HYPERLINK("https://eping.wto.org/en/Search?viewData= G/SPS/N/BDI/62/Add.1, G/SPS/N/KEN/218/Add.1, G/SPS/N/RWA/55/Add.1, G/SPS/N/TZA/284/Add.1, G/SPS/N/UGA/259/Add.1"," G/SPS/N/BDI/62/Add.1, G/SPS/N/KEN/218/Add.1, G/SPS/N/RWA/55/Add.1, G/SPS/N/TZA/284/Add.1, G/SPS/N/UGA/259/Add.1")</f>
      </c>
      <c r="D717" s="8" t="s">
        <v>2543</v>
      </c>
      <c r="E717" s="8" t="s">
        <v>2544</v>
      </c>
      <c r="F717" s="8" t="s">
        <v>2545</v>
      </c>
      <c r="G717" s="6" t="s">
        <v>2546</v>
      </c>
      <c r="H717" s="6" t="s">
        <v>2547</v>
      </c>
      <c r="I717" s="6" t="s">
        <v>38</v>
      </c>
      <c r="J717" s="6" t="s">
        <v>321</v>
      </c>
      <c r="K717" s="6"/>
      <c r="L717" s="7" t="s">
        <v>40</v>
      </c>
      <c r="M717" s="6" t="s">
        <v>76</v>
      </c>
      <c r="N717" s="6"/>
      <c r="O717" s="6">
        <f>HYPERLINK("https://docs.wto.org/imrd/directdoc.asp?DDFDocuments/t/G/SPS/NBDI62A1.DOCX", "https://docs.wto.org/imrd/directdoc.asp?DDFDocuments/t/G/SPS/NBDI62A1.DOCX")</f>
      </c>
      <c r="P717" s="6">
        <f>HYPERLINK("https://docs.wto.org/imrd/directdoc.asp?DDFDocuments/u/G/SPS/NBDI62A1.DOCX", "https://docs.wto.org/imrd/directdoc.asp?DDFDocuments/u/G/SPS/NBDI62A1.DOCX")</f>
      </c>
      <c r="Q717" s="6">
        <f>HYPERLINK("https://docs.wto.org/imrd/directdoc.asp?DDFDocuments/v/G/SPS/NBDI62A1.DOCX", "https://docs.wto.org/imrd/directdoc.asp?DDFDocuments/v/G/SPS/NBDI62A1.DOCX")</f>
      </c>
    </row>
    <row r="718">
      <c r="A718" s="6" t="s">
        <v>17</v>
      </c>
      <c r="B718" s="7">
        <v>45512</v>
      </c>
      <c r="C718" s="6">
        <f>HYPERLINK("https://eping.wto.org/en/Search?viewData= G/TBT/N/BDI/387/Add.1, G/TBT/N/KEN/1467/Add.1, G/TBT/N/RWA/899/Add.1, G/TBT/N/TZA/1001/Add.1, G/TBT/N/UGA/1806/Add.1"," G/TBT/N/BDI/387/Add.1, G/TBT/N/KEN/1467/Add.1, G/TBT/N/RWA/899/Add.1, G/TBT/N/TZA/1001/Add.1, G/TBT/N/UGA/1806/Add.1")</f>
      </c>
      <c r="D718" s="8" t="s">
        <v>2563</v>
      </c>
      <c r="E718" s="8" t="s">
        <v>2564</v>
      </c>
      <c r="F718" s="8" t="s">
        <v>2555</v>
      </c>
      <c r="G718" s="6" t="s">
        <v>2546</v>
      </c>
      <c r="H718" s="6" t="s">
        <v>2547</v>
      </c>
      <c r="I718" s="6" t="s">
        <v>2456</v>
      </c>
      <c r="J718" s="6" t="s">
        <v>122</v>
      </c>
      <c r="K718" s="6"/>
      <c r="L718" s="7" t="s">
        <v>40</v>
      </c>
      <c r="M718" s="6" t="s">
        <v>76</v>
      </c>
      <c r="N718" s="6"/>
      <c r="O718" s="6">
        <f>HYPERLINK("https://docs.wto.org/imrd/directdoc.asp?DDFDocuments/t/G/TBTN23/BDI387A1.DOCX", "https://docs.wto.org/imrd/directdoc.asp?DDFDocuments/t/G/TBTN23/BDI387A1.DOCX")</f>
      </c>
      <c r="P718" s="6">
        <f>HYPERLINK("https://docs.wto.org/imrd/directdoc.asp?DDFDocuments/u/G/TBTN23/BDI387A1.DOCX", "https://docs.wto.org/imrd/directdoc.asp?DDFDocuments/u/G/TBTN23/BDI387A1.DOCX")</f>
      </c>
      <c r="Q718" s="6">
        <f>HYPERLINK("https://docs.wto.org/imrd/directdoc.asp?DDFDocuments/v/G/TBTN23/BDI387A1.DOCX", "https://docs.wto.org/imrd/directdoc.asp?DDFDocuments/v/G/TBTN23/BDI387A1.DOCX")</f>
      </c>
    </row>
    <row r="719">
      <c r="A719" s="6" t="s">
        <v>2041</v>
      </c>
      <c r="B719" s="7">
        <v>45512</v>
      </c>
      <c r="C719" s="6">
        <f>HYPERLINK("https://eping.wto.org/en/Search?viewData= G/SPS/N/BDI/61/Add.1, G/SPS/N/KEN/217/Add.1, G/SPS/N/RWA/54/Add.1, G/SPS/N/TZA/283/Add.1, G/SPS/N/UGA/258/Add.1"," G/SPS/N/BDI/61/Add.1, G/SPS/N/KEN/217/Add.1, G/SPS/N/RWA/54/Add.1, G/SPS/N/TZA/283/Add.1, G/SPS/N/UGA/258/Add.1")</f>
      </c>
      <c r="D719" s="8" t="s">
        <v>2571</v>
      </c>
      <c r="E719" s="8" t="s">
        <v>2572</v>
      </c>
      <c r="F719" s="8" t="s">
        <v>2545</v>
      </c>
      <c r="G719" s="6" t="s">
        <v>2546</v>
      </c>
      <c r="H719" s="6" t="s">
        <v>2547</v>
      </c>
      <c r="I719" s="6" t="s">
        <v>2312</v>
      </c>
      <c r="J719" s="6" t="s">
        <v>1663</v>
      </c>
      <c r="K719" s="6"/>
      <c r="L719" s="7" t="s">
        <v>40</v>
      </c>
      <c r="M719" s="6" t="s">
        <v>76</v>
      </c>
      <c r="N719" s="6"/>
      <c r="O719" s="6">
        <f>HYPERLINK("https://docs.wto.org/imrd/directdoc.asp?DDFDocuments/t/G/SPS/NBDI61A1.DOCX", "https://docs.wto.org/imrd/directdoc.asp?DDFDocuments/t/G/SPS/NBDI61A1.DOCX")</f>
      </c>
      <c r="P719" s="6">
        <f>HYPERLINK("https://docs.wto.org/imrd/directdoc.asp?DDFDocuments/u/G/SPS/NBDI61A1.DOCX", "https://docs.wto.org/imrd/directdoc.asp?DDFDocuments/u/G/SPS/NBDI61A1.DOCX")</f>
      </c>
      <c r="Q719" s="6">
        <f>HYPERLINK("https://docs.wto.org/imrd/directdoc.asp?DDFDocuments/v/G/SPS/NBDI61A1.DOCX", "https://docs.wto.org/imrd/directdoc.asp?DDFDocuments/v/G/SPS/NBDI61A1.DOCX")</f>
      </c>
    </row>
    <row r="720">
      <c r="A720" s="6" t="s">
        <v>17</v>
      </c>
      <c r="B720" s="7">
        <v>45512</v>
      </c>
      <c r="C720" s="6">
        <f>HYPERLINK("https://eping.wto.org/en/Search?viewData= G/SPS/N/BDI/29/Add.1, G/SPS/N/KEN/182/Add.1, G/SPS/N/RWA/22/Add.1, G/SPS/N/TZA/215/Add.1, G/SPS/N/UGA/224/Add.1"," G/SPS/N/BDI/29/Add.1, G/SPS/N/KEN/182/Add.1, G/SPS/N/RWA/22/Add.1, G/SPS/N/TZA/215/Add.1, G/SPS/N/UGA/224/Add.1")</f>
      </c>
      <c r="D720" s="8" t="s">
        <v>2419</v>
      </c>
      <c r="E720" s="8" t="s">
        <v>2551</v>
      </c>
      <c r="F720" s="8" t="s">
        <v>2552</v>
      </c>
      <c r="G720" s="6" t="s">
        <v>2422</v>
      </c>
      <c r="H720" s="6" t="s">
        <v>2402</v>
      </c>
      <c r="I720" s="6" t="s">
        <v>2312</v>
      </c>
      <c r="J720" s="6" t="s">
        <v>1663</v>
      </c>
      <c r="K720" s="6"/>
      <c r="L720" s="7" t="s">
        <v>40</v>
      </c>
      <c r="M720" s="6" t="s">
        <v>76</v>
      </c>
      <c r="N720" s="6"/>
      <c r="O720" s="6">
        <f>HYPERLINK("https://docs.wto.org/imrd/directdoc.asp?DDFDocuments/t/G/SPS/NBDI29A1.DOCX", "https://docs.wto.org/imrd/directdoc.asp?DDFDocuments/t/G/SPS/NBDI29A1.DOCX")</f>
      </c>
      <c r="P720" s="6">
        <f>HYPERLINK("https://docs.wto.org/imrd/directdoc.asp?DDFDocuments/u/G/SPS/NBDI29A1.DOCX", "https://docs.wto.org/imrd/directdoc.asp?DDFDocuments/u/G/SPS/NBDI29A1.DOCX")</f>
      </c>
      <c r="Q720" s="6">
        <f>HYPERLINK("https://docs.wto.org/imrd/directdoc.asp?DDFDocuments/v/G/SPS/NBDI29A1.DOCX", "https://docs.wto.org/imrd/directdoc.asp?DDFDocuments/v/G/SPS/NBDI29A1.DOCX")</f>
      </c>
    </row>
    <row r="721">
      <c r="A721" s="6" t="s">
        <v>2030</v>
      </c>
      <c r="B721" s="7">
        <v>45512</v>
      </c>
      <c r="C721" s="6">
        <f>HYPERLINK("https://eping.wto.org/en/Search?viewData= G/SPS/N/BDI/27/Add.1, G/SPS/N/KEN/180/Add.1, G/SPS/N/RWA/20/Add.1, G/SPS/N/TZA/213/Add.1, G/SPS/N/UGA/222/Add.1"," G/SPS/N/BDI/27/Add.1, G/SPS/N/KEN/180/Add.1, G/SPS/N/RWA/20/Add.1, G/SPS/N/TZA/213/Add.1, G/SPS/N/UGA/222/Add.1")</f>
      </c>
      <c r="D721" s="8" t="s">
        <v>2438</v>
      </c>
      <c r="E721" s="8" t="s">
        <v>2582</v>
      </c>
      <c r="F721" s="8" t="s">
        <v>2583</v>
      </c>
      <c r="G721" s="6" t="s">
        <v>2441</v>
      </c>
      <c r="H721" s="6" t="s">
        <v>2402</v>
      </c>
      <c r="I721" s="6" t="s">
        <v>2312</v>
      </c>
      <c r="J721" s="6" t="s">
        <v>1663</v>
      </c>
      <c r="K721" s="6"/>
      <c r="L721" s="7" t="s">
        <v>40</v>
      </c>
      <c r="M721" s="6" t="s">
        <v>76</v>
      </c>
      <c r="N721" s="6"/>
      <c r="O721" s="6">
        <f>HYPERLINK("https://docs.wto.org/imrd/directdoc.asp?DDFDocuments/t/G/SPS/NBDI27A1.DOCX", "https://docs.wto.org/imrd/directdoc.asp?DDFDocuments/t/G/SPS/NBDI27A1.DOCX")</f>
      </c>
      <c r="P721" s="6">
        <f>HYPERLINK("https://docs.wto.org/imrd/directdoc.asp?DDFDocuments/u/G/SPS/NBDI27A1.DOCX", "https://docs.wto.org/imrd/directdoc.asp?DDFDocuments/u/G/SPS/NBDI27A1.DOCX")</f>
      </c>
      <c r="Q721" s="6">
        <f>HYPERLINK("https://docs.wto.org/imrd/directdoc.asp?DDFDocuments/v/G/SPS/NBDI27A1.DOCX", "https://docs.wto.org/imrd/directdoc.asp?DDFDocuments/v/G/SPS/NBDI27A1.DOCX")</f>
      </c>
    </row>
    <row r="722">
      <c r="A722" s="6" t="s">
        <v>880</v>
      </c>
      <c r="B722" s="7">
        <v>45512</v>
      </c>
      <c r="C722" s="6">
        <f>HYPERLINK("https://eping.wto.org/en/Search?viewData= G/TBT/N/BDI/387/Add.1, G/TBT/N/KEN/1467/Add.1, G/TBT/N/RWA/899/Add.1, G/TBT/N/TZA/1001/Add.1, G/TBT/N/UGA/1806/Add.1"," G/TBT/N/BDI/387/Add.1, G/TBT/N/KEN/1467/Add.1, G/TBT/N/RWA/899/Add.1, G/TBT/N/TZA/1001/Add.1, G/TBT/N/UGA/1806/Add.1")</f>
      </c>
      <c r="D722" s="8" t="s">
        <v>2563</v>
      </c>
      <c r="E722" s="8" t="s">
        <v>2564</v>
      </c>
      <c r="F722" s="8" t="s">
        <v>2555</v>
      </c>
      <c r="G722" s="6" t="s">
        <v>2546</v>
      </c>
      <c r="H722" s="6" t="s">
        <v>2547</v>
      </c>
      <c r="I722" s="6" t="s">
        <v>2121</v>
      </c>
      <c r="J722" s="6" t="s">
        <v>122</v>
      </c>
      <c r="K722" s="6"/>
      <c r="L722" s="7" t="s">
        <v>40</v>
      </c>
      <c r="M722" s="6" t="s">
        <v>76</v>
      </c>
      <c r="N722" s="6"/>
      <c r="O722" s="6">
        <f>HYPERLINK("https://docs.wto.org/imrd/directdoc.asp?DDFDocuments/t/G/TBTN23/BDI387A1.DOCX", "https://docs.wto.org/imrd/directdoc.asp?DDFDocuments/t/G/TBTN23/BDI387A1.DOCX")</f>
      </c>
      <c r="P722" s="6">
        <f>HYPERLINK("https://docs.wto.org/imrd/directdoc.asp?DDFDocuments/u/G/TBTN23/BDI387A1.DOCX", "https://docs.wto.org/imrd/directdoc.asp?DDFDocuments/u/G/TBTN23/BDI387A1.DOCX")</f>
      </c>
      <c r="Q722" s="6">
        <f>HYPERLINK("https://docs.wto.org/imrd/directdoc.asp?DDFDocuments/v/G/TBTN23/BDI387A1.DOCX", "https://docs.wto.org/imrd/directdoc.asp?DDFDocuments/v/G/TBTN23/BDI387A1.DOCX")</f>
      </c>
    </row>
    <row r="723">
      <c r="A723" s="6" t="s">
        <v>880</v>
      </c>
      <c r="B723" s="7">
        <v>45512</v>
      </c>
      <c r="C723" s="6">
        <f>HYPERLINK("https://eping.wto.org/en/Search?viewData= G/TBT/N/BDI/390/Add.1, G/TBT/N/KEN/1470/Add.1, G/TBT/N/RWA/902/Add.1, G/TBT/N/TZA/1004/Add.1, G/TBT/N/UGA/1809/Add.1"," G/TBT/N/BDI/390/Add.1, G/TBT/N/KEN/1470/Add.1, G/TBT/N/RWA/902/Add.1, G/TBT/N/TZA/1004/Add.1, G/TBT/N/UGA/1809/Add.1")</f>
      </c>
      <c r="D723" s="8" t="s">
        <v>2553</v>
      </c>
      <c r="E723" s="8" t="s">
        <v>2554</v>
      </c>
      <c r="F723" s="8" t="s">
        <v>2555</v>
      </c>
      <c r="G723" s="6" t="s">
        <v>2546</v>
      </c>
      <c r="H723" s="6" t="s">
        <v>2547</v>
      </c>
      <c r="I723" s="6" t="s">
        <v>2121</v>
      </c>
      <c r="J723" s="6" t="s">
        <v>122</v>
      </c>
      <c r="K723" s="6"/>
      <c r="L723" s="7" t="s">
        <v>40</v>
      </c>
      <c r="M723" s="6" t="s">
        <v>76</v>
      </c>
      <c r="N723" s="6"/>
      <c r="O723" s="6">
        <f>HYPERLINK("https://docs.wto.org/imrd/directdoc.asp?DDFDocuments/t/G/TBTN23/BDI390A1.DOCX", "https://docs.wto.org/imrd/directdoc.asp?DDFDocuments/t/G/TBTN23/BDI390A1.DOCX")</f>
      </c>
      <c r="P723" s="6">
        <f>HYPERLINK("https://docs.wto.org/imrd/directdoc.asp?DDFDocuments/u/G/TBTN23/BDI390A1.DOCX", "https://docs.wto.org/imrd/directdoc.asp?DDFDocuments/u/G/TBTN23/BDI390A1.DOCX")</f>
      </c>
      <c r="Q723" s="6">
        <f>HYPERLINK("https://docs.wto.org/imrd/directdoc.asp?DDFDocuments/v/G/TBTN23/BDI390A1.DOCX", "https://docs.wto.org/imrd/directdoc.asp?DDFDocuments/v/G/TBTN23/BDI390A1.DOCX")</f>
      </c>
    </row>
    <row r="724">
      <c r="A724" s="6" t="s">
        <v>880</v>
      </c>
      <c r="B724" s="7">
        <v>45512</v>
      </c>
      <c r="C724" s="6">
        <f>HYPERLINK("https://eping.wto.org/en/Search?viewData= G/TBT/N/BDI/389/Add.1, G/TBT/N/KEN/1469/Add.1, G/TBT/N/RWA/901/Add.1, G/TBT/N/TZA/1003/Add.1, G/TBT/N/UGA/1808/Add.1"," G/TBT/N/BDI/389/Add.1, G/TBT/N/KEN/1469/Add.1, G/TBT/N/RWA/901/Add.1, G/TBT/N/TZA/1003/Add.1, G/TBT/N/UGA/1808/Add.1")</f>
      </c>
      <c r="D724" s="8" t="s">
        <v>2543</v>
      </c>
      <c r="E724" s="8" t="s">
        <v>2565</v>
      </c>
      <c r="F724" s="8" t="s">
        <v>2555</v>
      </c>
      <c r="G724" s="6" t="s">
        <v>2546</v>
      </c>
      <c r="H724" s="6" t="s">
        <v>2547</v>
      </c>
      <c r="I724" s="6" t="s">
        <v>2121</v>
      </c>
      <c r="J724" s="6" t="s">
        <v>122</v>
      </c>
      <c r="K724" s="6"/>
      <c r="L724" s="7" t="s">
        <v>40</v>
      </c>
      <c r="M724" s="6" t="s">
        <v>76</v>
      </c>
      <c r="N724" s="6"/>
      <c r="O724" s="6">
        <f>HYPERLINK("https://docs.wto.org/imrd/directdoc.asp?DDFDocuments/t/G/TBTN23/BDI389A1.DOCX", "https://docs.wto.org/imrd/directdoc.asp?DDFDocuments/t/G/TBTN23/BDI389A1.DOCX")</f>
      </c>
      <c r="P724" s="6">
        <f>HYPERLINK("https://docs.wto.org/imrd/directdoc.asp?DDFDocuments/u/G/TBTN23/BDI389A1.DOCX", "https://docs.wto.org/imrd/directdoc.asp?DDFDocuments/u/G/TBTN23/BDI389A1.DOCX")</f>
      </c>
      <c r="Q724" s="6">
        <f>HYPERLINK("https://docs.wto.org/imrd/directdoc.asp?DDFDocuments/v/G/TBTN23/BDI389A1.DOCX", "https://docs.wto.org/imrd/directdoc.asp?DDFDocuments/v/G/TBTN23/BDI389A1.DOCX")</f>
      </c>
    </row>
    <row r="725">
      <c r="A725" s="6" t="s">
        <v>2030</v>
      </c>
      <c r="B725" s="7">
        <v>45512</v>
      </c>
      <c r="C725" s="6">
        <f>HYPERLINK("https://eping.wto.org/en/Search?viewData= G/SPS/N/BDI/62/Add.1, G/SPS/N/KEN/218/Add.1, G/SPS/N/RWA/55/Add.1, G/SPS/N/TZA/284/Add.1, G/SPS/N/UGA/259/Add.1"," G/SPS/N/BDI/62/Add.1, G/SPS/N/KEN/218/Add.1, G/SPS/N/RWA/55/Add.1, G/SPS/N/TZA/284/Add.1, G/SPS/N/UGA/259/Add.1")</f>
      </c>
      <c r="D725" s="8" t="s">
        <v>2543</v>
      </c>
      <c r="E725" s="8" t="s">
        <v>2544</v>
      </c>
      <c r="F725" s="8" t="s">
        <v>2545</v>
      </c>
      <c r="G725" s="6" t="s">
        <v>2546</v>
      </c>
      <c r="H725" s="6" t="s">
        <v>2547</v>
      </c>
      <c r="I725" s="6" t="s">
        <v>38</v>
      </c>
      <c r="J725" s="6" t="s">
        <v>2548</v>
      </c>
      <c r="K725" s="6"/>
      <c r="L725" s="7" t="s">
        <v>40</v>
      </c>
      <c r="M725" s="6" t="s">
        <v>76</v>
      </c>
      <c r="N725" s="6"/>
      <c r="O725" s="6">
        <f>HYPERLINK("https://docs.wto.org/imrd/directdoc.asp?DDFDocuments/t/G/SPS/NBDI62A1.DOCX", "https://docs.wto.org/imrd/directdoc.asp?DDFDocuments/t/G/SPS/NBDI62A1.DOCX")</f>
      </c>
      <c r="P725" s="6">
        <f>HYPERLINK("https://docs.wto.org/imrd/directdoc.asp?DDFDocuments/u/G/SPS/NBDI62A1.DOCX", "https://docs.wto.org/imrd/directdoc.asp?DDFDocuments/u/G/SPS/NBDI62A1.DOCX")</f>
      </c>
      <c r="Q725" s="6">
        <f>HYPERLINK("https://docs.wto.org/imrd/directdoc.asp?DDFDocuments/v/G/SPS/NBDI62A1.DOCX", "https://docs.wto.org/imrd/directdoc.asp?DDFDocuments/v/G/SPS/NBDI62A1.DOCX")</f>
      </c>
    </row>
    <row r="726">
      <c r="A726" s="6" t="s">
        <v>99</v>
      </c>
      <c r="B726" s="7">
        <v>45512</v>
      </c>
      <c r="C726" s="6">
        <f>HYPERLINK("https://eping.wto.org/en/Search?viewData= G/SPS/N/AUS/595"," G/SPS/N/AUS/595")</f>
      </c>
      <c r="D726" s="8" t="s">
        <v>2590</v>
      </c>
      <c r="E726" s="8" t="s">
        <v>2591</v>
      </c>
      <c r="F726" s="8" t="s">
        <v>2592</v>
      </c>
      <c r="G726" s="6" t="s">
        <v>40</v>
      </c>
      <c r="H726" s="6" t="s">
        <v>40</v>
      </c>
      <c r="I726" s="6" t="s">
        <v>369</v>
      </c>
      <c r="J726" s="6" t="s">
        <v>370</v>
      </c>
      <c r="K726" s="6" t="s">
        <v>40</v>
      </c>
      <c r="L726" s="7">
        <v>45555</v>
      </c>
      <c r="M726" s="6" t="s">
        <v>25</v>
      </c>
      <c r="N726" s="8" t="s">
        <v>2593</v>
      </c>
      <c r="O726" s="6">
        <f>HYPERLINK("https://docs.wto.org/imrd/directdoc.asp?DDFDocuments/t/G/SPS/NAUS595.DOCX", "https://docs.wto.org/imrd/directdoc.asp?DDFDocuments/t/G/SPS/NAUS595.DOCX")</f>
      </c>
      <c r="P726" s="6">
        <f>HYPERLINK("https://docs.wto.org/imrd/directdoc.asp?DDFDocuments/u/G/SPS/NAUS595.DOCX", "https://docs.wto.org/imrd/directdoc.asp?DDFDocuments/u/G/SPS/NAUS595.DOCX")</f>
      </c>
      <c r="Q726" s="6">
        <f>HYPERLINK("https://docs.wto.org/imrd/directdoc.asp?DDFDocuments/v/G/SPS/NAUS595.DOCX", "https://docs.wto.org/imrd/directdoc.asp?DDFDocuments/v/G/SPS/NAUS595.DOCX")</f>
      </c>
    </row>
    <row r="727">
      <c r="A727" s="6" t="s">
        <v>880</v>
      </c>
      <c r="B727" s="7">
        <v>45512</v>
      </c>
      <c r="C727" s="6">
        <f>HYPERLINK("https://eping.wto.org/en/Search?viewData= G/SPS/N/BDI/27/Add.1, G/SPS/N/KEN/180/Add.1, G/SPS/N/RWA/20/Add.1, G/SPS/N/TZA/213/Add.1, G/SPS/N/UGA/222/Add.1"," G/SPS/N/BDI/27/Add.1, G/SPS/N/KEN/180/Add.1, G/SPS/N/RWA/20/Add.1, G/SPS/N/TZA/213/Add.1, G/SPS/N/UGA/222/Add.1")</f>
      </c>
      <c r="D727" s="8" t="s">
        <v>2438</v>
      </c>
      <c r="E727" s="8" t="s">
        <v>2582</v>
      </c>
      <c r="F727" s="8" t="s">
        <v>2583</v>
      </c>
      <c r="G727" s="6" t="s">
        <v>2441</v>
      </c>
      <c r="H727" s="6" t="s">
        <v>2402</v>
      </c>
      <c r="I727" s="6" t="s">
        <v>38</v>
      </c>
      <c r="J727" s="6" t="s">
        <v>2589</v>
      </c>
      <c r="K727" s="6"/>
      <c r="L727" s="7" t="s">
        <v>40</v>
      </c>
      <c r="M727" s="6" t="s">
        <v>76</v>
      </c>
      <c r="N727" s="6"/>
      <c r="O727" s="6">
        <f>HYPERLINK("https://docs.wto.org/imrd/directdoc.asp?DDFDocuments/t/G/SPS/NBDI27A1.DOCX", "https://docs.wto.org/imrd/directdoc.asp?DDFDocuments/t/G/SPS/NBDI27A1.DOCX")</f>
      </c>
      <c r="P727" s="6">
        <f>HYPERLINK("https://docs.wto.org/imrd/directdoc.asp?DDFDocuments/u/G/SPS/NBDI27A1.DOCX", "https://docs.wto.org/imrd/directdoc.asp?DDFDocuments/u/G/SPS/NBDI27A1.DOCX")</f>
      </c>
      <c r="Q727" s="6">
        <f>HYPERLINK("https://docs.wto.org/imrd/directdoc.asp?DDFDocuments/v/G/SPS/NBDI27A1.DOCX", "https://docs.wto.org/imrd/directdoc.asp?DDFDocuments/v/G/SPS/NBDI27A1.DOCX")</f>
      </c>
    </row>
    <row r="728">
      <c r="A728" s="6" t="s">
        <v>2024</v>
      </c>
      <c r="B728" s="7">
        <v>45512</v>
      </c>
      <c r="C728" s="6">
        <f>HYPERLINK("https://eping.wto.org/en/Search?viewData= G/TBT/N/BDI/389/Add.1, G/TBT/N/KEN/1469/Add.1, G/TBT/N/RWA/901/Add.1, G/TBT/N/TZA/1003/Add.1, G/TBT/N/UGA/1808/Add.1"," G/TBT/N/BDI/389/Add.1, G/TBT/N/KEN/1469/Add.1, G/TBT/N/RWA/901/Add.1, G/TBT/N/TZA/1003/Add.1, G/TBT/N/UGA/1808/Add.1")</f>
      </c>
      <c r="D728" s="8" t="s">
        <v>2543</v>
      </c>
      <c r="E728" s="8" t="s">
        <v>2565</v>
      </c>
      <c r="F728" s="8" t="s">
        <v>2555</v>
      </c>
      <c r="G728" s="6" t="s">
        <v>2546</v>
      </c>
      <c r="H728" s="6" t="s">
        <v>2547</v>
      </c>
      <c r="I728" s="6" t="s">
        <v>2456</v>
      </c>
      <c r="J728" s="6" t="s">
        <v>122</v>
      </c>
      <c r="K728" s="6"/>
      <c r="L728" s="7" t="s">
        <v>40</v>
      </c>
      <c r="M728" s="6" t="s">
        <v>76</v>
      </c>
      <c r="N728" s="6"/>
      <c r="O728" s="6">
        <f>HYPERLINK("https://docs.wto.org/imrd/directdoc.asp?DDFDocuments/t/G/TBTN23/BDI389A1.DOCX", "https://docs.wto.org/imrd/directdoc.asp?DDFDocuments/t/G/TBTN23/BDI389A1.DOCX")</f>
      </c>
      <c r="P728" s="6">
        <f>HYPERLINK("https://docs.wto.org/imrd/directdoc.asp?DDFDocuments/u/G/TBTN23/BDI389A1.DOCX", "https://docs.wto.org/imrd/directdoc.asp?DDFDocuments/u/G/TBTN23/BDI389A1.DOCX")</f>
      </c>
      <c r="Q728" s="6">
        <f>HYPERLINK("https://docs.wto.org/imrd/directdoc.asp?DDFDocuments/v/G/TBTN23/BDI389A1.DOCX", "https://docs.wto.org/imrd/directdoc.asp?DDFDocuments/v/G/TBTN23/BDI389A1.DOCX")</f>
      </c>
    </row>
    <row r="729">
      <c r="A729" s="6" t="s">
        <v>2030</v>
      </c>
      <c r="B729" s="7">
        <v>45512</v>
      </c>
      <c r="C729" s="6">
        <f>HYPERLINK("https://eping.wto.org/en/Search?viewData= G/SPS/N/BDI/60/Add.1, G/SPS/N/KEN/216/Add.1, G/SPS/N/RWA/53/Add.1, G/SPS/N/TZA/282/Add.1, G/SPS/N/UGA/257/Add.1"," G/SPS/N/BDI/60/Add.1, G/SPS/N/KEN/216/Add.1, G/SPS/N/RWA/53/Add.1, G/SPS/N/TZA/282/Add.1, G/SPS/N/UGA/257/Add.1")</f>
      </c>
      <c r="D729" s="8" t="s">
        <v>2549</v>
      </c>
      <c r="E729" s="8" t="s">
        <v>2550</v>
      </c>
      <c r="F729" s="8" t="s">
        <v>2545</v>
      </c>
      <c r="G729" s="6" t="s">
        <v>2546</v>
      </c>
      <c r="H729" s="6" t="s">
        <v>2547</v>
      </c>
      <c r="I729" s="6" t="s">
        <v>38</v>
      </c>
      <c r="J729" s="6" t="s">
        <v>1663</v>
      </c>
      <c r="K729" s="6"/>
      <c r="L729" s="7" t="s">
        <v>40</v>
      </c>
      <c r="M729" s="6" t="s">
        <v>76</v>
      </c>
      <c r="N729" s="6"/>
      <c r="O729" s="6">
        <f>HYPERLINK("https://docs.wto.org/imrd/directdoc.asp?DDFDocuments/t/G/SPS/NBDI60A1.DOCX", "https://docs.wto.org/imrd/directdoc.asp?DDFDocuments/t/G/SPS/NBDI60A1.DOCX")</f>
      </c>
      <c r="P729" s="6">
        <f>HYPERLINK("https://docs.wto.org/imrd/directdoc.asp?DDFDocuments/u/G/SPS/NBDI60A1.DOCX", "https://docs.wto.org/imrd/directdoc.asp?DDFDocuments/u/G/SPS/NBDI60A1.DOCX")</f>
      </c>
      <c r="Q729" s="6">
        <f>HYPERLINK("https://docs.wto.org/imrd/directdoc.asp?DDFDocuments/v/G/SPS/NBDI60A1.DOCX", "https://docs.wto.org/imrd/directdoc.asp?DDFDocuments/v/G/SPS/NBDI60A1.DOCX")</f>
      </c>
    </row>
    <row r="730">
      <c r="A730" s="6" t="s">
        <v>2041</v>
      </c>
      <c r="B730" s="7">
        <v>45512</v>
      </c>
      <c r="C730" s="6">
        <f>HYPERLINK("https://eping.wto.org/en/Search?viewData= G/SPS/N/BDI/28/Add.1, G/SPS/N/KEN/181/Add.1, G/SPS/N/RWA/21/Add.1, G/SPS/N/TZA/214/Add.1, G/SPS/N/UGA/223/Add.1"," G/SPS/N/BDI/28/Add.1, G/SPS/N/KEN/181/Add.1, G/SPS/N/RWA/21/Add.1, G/SPS/N/TZA/214/Add.1, G/SPS/N/UGA/223/Add.1")</f>
      </c>
      <c r="D730" s="8" t="s">
        <v>2573</v>
      </c>
      <c r="E730" s="8" t="s">
        <v>2574</v>
      </c>
      <c r="F730" s="8" t="s">
        <v>2575</v>
      </c>
      <c r="G730" s="6" t="s">
        <v>2401</v>
      </c>
      <c r="H730" s="6" t="s">
        <v>2402</v>
      </c>
      <c r="I730" s="6" t="s">
        <v>2312</v>
      </c>
      <c r="J730" s="6" t="s">
        <v>1663</v>
      </c>
      <c r="K730" s="6"/>
      <c r="L730" s="7" t="s">
        <v>40</v>
      </c>
      <c r="M730" s="6" t="s">
        <v>76</v>
      </c>
      <c r="N730" s="6"/>
      <c r="O730" s="6">
        <f>HYPERLINK("https://docs.wto.org/imrd/directdoc.asp?DDFDocuments/t/G/SPS/NBDI28A1.DOCX", "https://docs.wto.org/imrd/directdoc.asp?DDFDocuments/t/G/SPS/NBDI28A1.DOCX")</f>
      </c>
      <c r="P730" s="6">
        <f>HYPERLINK("https://docs.wto.org/imrd/directdoc.asp?DDFDocuments/u/G/SPS/NBDI28A1.DOCX", "https://docs.wto.org/imrd/directdoc.asp?DDFDocuments/u/G/SPS/NBDI28A1.DOCX")</f>
      </c>
      <c r="Q730" s="6">
        <f>HYPERLINK("https://docs.wto.org/imrd/directdoc.asp?DDFDocuments/v/G/SPS/NBDI28A1.DOCX", "https://docs.wto.org/imrd/directdoc.asp?DDFDocuments/v/G/SPS/NBDI28A1.DOCX")</f>
      </c>
    </row>
    <row r="731">
      <c r="A731" s="6" t="s">
        <v>136</v>
      </c>
      <c r="B731" s="7">
        <v>45512</v>
      </c>
      <c r="C731" s="6">
        <f>HYPERLINK("https://eping.wto.org/en/Search?viewData= G/SPS/N/PER/1055"," G/SPS/N/PER/1055")</f>
      </c>
      <c r="D731" s="8" t="s">
        <v>2594</v>
      </c>
      <c r="E731" s="8" t="s">
        <v>2595</v>
      </c>
      <c r="F731" s="8" t="s">
        <v>2596</v>
      </c>
      <c r="G731" s="6" t="s">
        <v>1730</v>
      </c>
      <c r="H731" s="6" t="s">
        <v>40</v>
      </c>
      <c r="I731" s="6" t="s">
        <v>369</v>
      </c>
      <c r="J731" s="6" t="s">
        <v>370</v>
      </c>
      <c r="K731" s="6" t="s">
        <v>2597</v>
      </c>
      <c r="L731" s="7">
        <v>45572</v>
      </c>
      <c r="M731" s="6" t="s">
        <v>25</v>
      </c>
      <c r="N731" s="8" t="s">
        <v>2598</v>
      </c>
      <c r="O731" s="6">
        <f>HYPERLINK("https://docs.wto.org/imrd/directdoc.asp?DDFDocuments/t/G/SPS/NPER1055.DOCX", "https://docs.wto.org/imrd/directdoc.asp?DDFDocuments/t/G/SPS/NPER1055.DOCX")</f>
      </c>
      <c r="P731" s="6">
        <f>HYPERLINK("https://docs.wto.org/imrd/directdoc.asp?DDFDocuments/u/G/SPS/NPER1055.DOCX", "https://docs.wto.org/imrd/directdoc.asp?DDFDocuments/u/G/SPS/NPER1055.DOCX")</f>
      </c>
      <c r="Q731" s="6">
        <f>HYPERLINK("https://docs.wto.org/imrd/directdoc.asp?DDFDocuments/v/G/SPS/NPER1055.DOCX", "https://docs.wto.org/imrd/directdoc.asp?DDFDocuments/v/G/SPS/NPER1055.DOCX")</f>
      </c>
    </row>
    <row r="732">
      <c r="A732" s="6" t="s">
        <v>880</v>
      </c>
      <c r="B732" s="7">
        <v>45511</v>
      </c>
      <c r="C732" s="6">
        <f>HYPERLINK("https://eping.wto.org/en/Search?viewData= G/TBT/N/BDI/388/Add.1, G/TBT/N/KEN/1468/Add.1, G/TBT/N/RWA/900/Add.1, G/TBT/N/TZA/1002/Add.1, G/TBT/N/UGA/1807/Add.1"," G/TBT/N/BDI/388/Add.1, G/TBT/N/KEN/1468/Add.1, G/TBT/N/RWA/900/Add.1, G/TBT/N/TZA/1002/Add.1, G/TBT/N/UGA/1807/Add.1")</f>
      </c>
      <c r="D732" s="8" t="s">
        <v>2571</v>
      </c>
      <c r="E732" s="8" t="s">
        <v>2599</v>
      </c>
      <c r="F732" s="8" t="s">
        <v>2555</v>
      </c>
      <c r="G732" s="6" t="s">
        <v>2546</v>
      </c>
      <c r="H732" s="6" t="s">
        <v>2547</v>
      </c>
      <c r="I732" s="6" t="s">
        <v>2121</v>
      </c>
      <c r="J732" s="6" t="s">
        <v>122</v>
      </c>
      <c r="K732" s="6"/>
      <c r="L732" s="7" t="s">
        <v>40</v>
      </c>
      <c r="M732" s="6" t="s">
        <v>76</v>
      </c>
      <c r="N732" s="6"/>
      <c r="O732" s="6">
        <f>HYPERLINK("https://docs.wto.org/imrd/directdoc.asp?DDFDocuments/t/G/TBTN23/BDI388A1.DOCX", "https://docs.wto.org/imrd/directdoc.asp?DDFDocuments/t/G/TBTN23/BDI388A1.DOCX")</f>
      </c>
      <c r="P732" s="6">
        <f>HYPERLINK("https://docs.wto.org/imrd/directdoc.asp?DDFDocuments/u/G/TBTN23/BDI388A1.DOCX", "https://docs.wto.org/imrd/directdoc.asp?DDFDocuments/u/G/TBTN23/BDI388A1.DOCX")</f>
      </c>
      <c r="Q732" s="6">
        <f>HYPERLINK("https://docs.wto.org/imrd/directdoc.asp?DDFDocuments/v/G/TBTN23/BDI388A1.DOCX", "https://docs.wto.org/imrd/directdoc.asp?DDFDocuments/v/G/TBTN23/BDI388A1.DOCX")</f>
      </c>
    </row>
    <row r="733">
      <c r="A733" s="6" t="s">
        <v>160</v>
      </c>
      <c r="B733" s="7">
        <v>45511</v>
      </c>
      <c r="C733" s="6">
        <f>HYPERLINK("https://eping.wto.org/en/Search?viewData= G/TBT/N/USA/2096/Add.1"," G/TBT/N/USA/2096/Add.1")</f>
      </c>
      <c r="D733" s="8" t="s">
        <v>2600</v>
      </c>
      <c r="E733" s="8" t="s">
        <v>2601</v>
      </c>
      <c r="F733" s="8" t="s">
        <v>1111</v>
      </c>
      <c r="G733" s="6" t="s">
        <v>40</v>
      </c>
      <c r="H733" s="6" t="s">
        <v>2602</v>
      </c>
      <c r="I733" s="6" t="s">
        <v>1113</v>
      </c>
      <c r="J733" s="6" t="s">
        <v>40</v>
      </c>
      <c r="K733" s="6"/>
      <c r="L733" s="7" t="s">
        <v>40</v>
      </c>
      <c r="M733" s="6" t="s">
        <v>76</v>
      </c>
      <c r="N733" s="8" t="s">
        <v>2603</v>
      </c>
      <c r="O733" s="6">
        <f>HYPERLINK("https://docs.wto.org/imrd/directdoc.asp?DDFDocuments/t/G/TBTN24/USA2096A1.DOCX", "https://docs.wto.org/imrd/directdoc.asp?DDFDocuments/t/G/TBTN24/USA2096A1.DOCX")</f>
      </c>
      <c r="P733" s="6">
        <f>HYPERLINK("https://docs.wto.org/imrd/directdoc.asp?DDFDocuments/u/G/TBTN24/USA2096A1.DOCX", "https://docs.wto.org/imrd/directdoc.asp?DDFDocuments/u/G/TBTN24/USA2096A1.DOCX")</f>
      </c>
      <c r="Q733" s="6">
        <f>HYPERLINK("https://docs.wto.org/imrd/directdoc.asp?DDFDocuments/v/G/TBTN24/USA2096A1.DOCX", "https://docs.wto.org/imrd/directdoc.asp?DDFDocuments/v/G/TBTN24/USA2096A1.DOCX")</f>
      </c>
    </row>
    <row r="734">
      <c r="A734" s="6" t="s">
        <v>307</v>
      </c>
      <c r="B734" s="7">
        <v>45511</v>
      </c>
      <c r="C734" s="6">
        <f>HYPERLINK("https://eping.wto.org/en/Search?viewData= G/SPS/N/CAN/1551/Add.1"," G/SPS/N/CAN/1551/Add.1")</f>
      </c>
      <c r="D734" s="8" t="s">
        <v>2604</v>
      </c>
      <c r="E734" s="8" t="s">
        <v>2605</v>
      </c>
      <c r="F734" s="8" t="s">
        <v>2606</v>
      </c>
      <c r="G734" s="6" t="s">
        <v>40</v>
      </c>
      <c r="H734" s="6" t="s">
        <v>709</v>
      </c>
      <c r="I734" s="6" t="s">
        <v>38</v>
      </c>
      <c r="J734" s="6" t="s">
        <v>1756</v>
      </c>
      <c r="K734" s="6"/>
      <c r="L734" s="7" t="s">
        <v>40</v>
      </c>
      <c r="M734" s="6" t="s">
        <v>76</v>
      </c>
      <c r="N734" s="6"/>
      <c r="O734" s="6">
        <f>HYPERLINK("https://docs.wto.org/imrd/directdoc.asp?DDFDocuments/t/G/SPS/NCAN1551A1.DOCX", "https://docs.wto.org/imrd/directdoc.asp?DDFDocuments/t/G/SPS/NCAN1551A1.DOCX")</f>
      </c>
      <c r="P734" s="6">
        <f>HYPERLINK("https://docs.wto.org/imrd/directdoc.asp?DDFDocuments/u/G/SPS/NCAN1551A1.DOCX", "https://docs.wto.org/imrd/directdoc.asp?DDFDocuments/u/G/SPS/NCAN1551A1.DOCX")</f>
      </c>
      <c r="Q734" s="6">
        <f>HYPERLINK("https://docs.wto.org/imrd/directdoc.asp?DDFDocuments/v/G/SPS/NCAN1551A1.DOCX", "https://docs.wto.org/imrd/directdoc.asp?DDFDocuments/v/G/SPS/NCAN1551A1.DOCX")</f>
      </c>
    </row>
    <row r="735">
      <c r="A735" s="6" t="s">
        <v>307</v>
      </c>
      <c r="B735" s="7">
        <v>45511</v>
      </c>
      <c r="C735" s="6">
        <f>HYPERLINK("https://eping.wto.org/en/Search?viewData= G/SPS/N/CAN/1550/Add.1"," G/SPS/N/CAN/1550/Add.1")</f>
      </c>
      <c r="D735" s="8" t="s">
        <v>2607</v>
      </c>
      <c r="E735" s="8" t="s">
        <v>2608</v>
      </c>
      <c r="F735" s="8" t="s">
        <v>2609</v>
      </c>
      <c r="G735" s="6" t="s">
        <v>40</v>
      </c>
      <c r="H735" s="6" t="s">
        <v>709</v>
      </c>
      <c r="I735" s="6" t="s">
        <v>38</v>
      </c>
      <c r="J735" s="6" t="s">
        <v>2610</v>
      </c>
      <c r="K735" s="6"/>
      <c r="L735" s="7" t="s">
        <v>40</v>
      </c>
      <c r="M735" s="6" t="s">
        <v>76</v>
      </c>
      <c r="N735" s="6"/>
      <c r="O735" s="6">
        <f>HYPERLINK("https://docs.wto.org/imrd/directdoc.asp?DDFDocuments/t/G/SPS/NCAN1550A1.DOCX", "https://docs.wto.org/imrd/directdoc.asp?DDFDocuments/t/G/SPS/NCAN1550A1.DOCX")</f>
      </c>
      <c r="P735" s="6">
        <f>HYPERLINK("https://docs.wto.org/imrd/directdoc.asp?DDFDocuments/u/G/SPS/NCAN1550A1.DOCX", "https://docs.wto.org/imrd/directdoc.asp?DDFDocuments/u/G/SPS/NCAN1550A1.DOCX")</f>
      </c>
      <c r="Q735" s="6">
        <f>HYPERLINK("https://docs.wto.org/imrd/directdoc.asp?DDFDocuments/v/G/SPS/NCAN1550A1.DOCX", "https://docs.wto.org/imrd/directdoc.asp?DDFDocuments/v/G/SPS/NCAN1550A1.DOCX")</f>
      </c>
    </row>
    <row r="736">
      <c r="A736" s="6" t="s">
        <v>419</v>
      </c>
      <c r="B736" s="7">
        <v>45511</v>
      </c>
      <c r="C736" s="6">
        <f>HYPERLINK("https://eping.wto.org/en/Search?viewData= G/TBT/N/JPN/825"," G/TBT/N/JPN/825")</f>
      </c>
      <c r="D736" s="8" t="s">
        <v>2611</v>
      </c>
      <c r="E736" s="8" t="s">
        <v>2612</v>
      </c>
      <c r="F736" s="8" t="s">
        <v>2613</v>
      </c>
      <c r="G736" s="6" t="s">
        <v>40</v>
      </c>
      <c r="H736" s="6" t="s">
        <v>40</v>
      </c>
      <c r="I736" s="6" t="s">
        <v>142</v>
      </c>
      <c r="J736" s="6" t="s">
        <v>95</v>
      </c>
      <c r="K736" s="6"/>
      <c r="L736" s="7" t="s">
        <v>40</v>
      </c>
      <c r="M736" s="6" t="s">
        <v>25</v>
      </c>
      <c r="N736" s="8" t="s">
        <v>2614</v>
      </c>
      <c r="O736" s="6">
        <f>HYPERLINK("https://docs.wto.org/imrd/directdoc.asp?DDFDocuments/t/G/TBTN24/JPN825.DOCX", "https://docs.wto.org/imrd/directdoc.asp?DDFDocuments/t/G/TBTN24/JPN825.DOCX")</f>
      </c>
      <c r="P736" s="6">
        <f>HYPERLINK("https://docs.wto.org/imrd/directdoc.asp?DDFDocuments/u/G/TBTN24/JPN825.DOCX", "https://docs.wto.org/imrd/directdoc.asp?DDFDocuments/u/G/TBTN24/JPN825.DOCX")</f>
      </c>
      <c r="Q736" s="6">
        <f>HYPERLINK("https://docs.wto.org/imrd/directdoc.asp?DDFDocuments/v/G/TBTN24/JPN825.DOCX", "https://docs.wto.org/imrd/directdoc.asp?DDFDocuments/v/G/TBTN24/JPN825.DOCX")</f>
      </c>
    </row>
    <row r="737">
      <c r="A737" s="6" t="s">
        <v>412</v>
      </c>
      <c r="B737" s="7">
        <v>45511</v>
      </c>
      <c r="C737" s="6">
        <f>HYPERLINK("https://eping.wto.org/en/Search?viewData= G/SPS/N/COL/354/Add.1"," G/SPS/N/COL/354/Add.1")</f>
      </c>
      <c r="D737" s="8" t="s">
        <v>2615</v>
      </c>
      <c r="E737" s="8" t="s">
        <v>2615</v>
      </c>
      <c r="F737" s="8" t="s">
        <v>2616</v>
      </c>
      <c r="G737" s="6" t="s">
        <v>2617</v>
      </c>
      <c r="H737" s="6" t="s">
        <v>40</v>
      </c>
      <c r="I737" s="6" t="s">
        <v>369</v>
      </c>
      <c r="J737" s="6" t="s">
        <v>2618</v>
      </c>
      <c r="K737" s="6"/>
      <c r="L737" s="7" t="s">
        <v>40</v>
      </c>
      <c r="M737" s="6" t="s">
        <v>76</v>
      </c>
      <c r="N737" s="8" t="s">
        <v>2619</v>
      </c>
      <c r="O737" s="6">
        <f>HYPERLINK("https://docs.wto.org/imrd/directdoc.asp?DDFDocuments/t/G/SPS/NCOL354A1.DOCX", "https://docs.wto.org/imrd/directdoc.asp?DDFDocuments/t/G/SPS/NCOL354A1.DOCX")</f>
      </c>
      <c r="P737" s="6">
        <f>HYPERLINK("https://docs.wto.org/imrd/directdoc.asp?DDFDocuments/u/G/SPS/NCOL354A1.DOCX", "https://docs.wto.org/imrd/directdoc.asp?DDFDocuments/u/G/SPS/NCOL354A1.DOCX")</f>
      </c>
      <c r="Q737" s="6">
        <f>HYPERLINK("https://docs.wto.org/imrd/directdoc.asp?DDFDocuments/v/G/SPS/NCOL354A1.DOCX", "https://docs.wto.org/imrd/directdoc.asp?DDFDocuments/v/G/SPS/NCOL354A1.DOCX")</f>
      </c>
    </row>
    <row r="738">
      <c r="A738" s="6" t="s">
        <v>412</v>
      </c>
      <c r="B738" s="7">
        <v>45511</v>
      </c>
      <c r="C738" s="6">
        <f>HYPERLINK("https://eping.wto.org/en/Search?viewData= G/SPS/N/COL/353/Add.1"," G/SPS/N/COL/353/Add.1")</f>
      </c>
      <c r="D738" s="8" t="s">
        <v>2620</v>
      </c>
      <c r="E738" s="8" t="s">
        <v>2620</v>
      </c>
      <c r="F738" s="8" t="s">
        <v>2621</v>
      </c>
      <c r="G738" s="6" t="s">
        <v>2622</v>
      </c>
      <c r="H738" s="6" t="s">
        <v>40</v>
      </c>
      <c r="I738" s="6" t="s">
        <v>819</v>
      </c>
      <c r="J738" s="6" t="s">
        <v>2623</v>
      </c>
      <c r="K738" s="6"/>
      <c r="L738" s="7" t="s">
        <v>40</v>
      </c>
      <c r="M738" s="6" t="s">
        <v>76</v>
      </c>
      <c r="N738" s="8" t="s">
        <v>2624</v>
      </c>
      <c r="O738" s="6">
        <f>HYPERLINK("https://docs.wto.org/imrd/directdoc.asp?DDFDocuments/t/G/SPS/NCOL353A1.DOCX", "https://docs.wto.org/imrd/directdoc.asp?DDFDocuments/t/G/SPS/NCOL353A1.DOCX")</f>
      </c>
      <c r="P738" s="6">
        <f>HYPERLINK("https://docs.wto.org/imrd/directdoc.asp?DDFDocuments/u/G/SPS/NCOL353A1.DOCX", "https://docs.wto.org/imrd/directdoc.asp?DDFDocuments/u/G/SPS/NCOL353A1.DOCX")</f>
      </c>
      <c r="Q738" s="6">
        <f>HYPERLINK("https://docs.wto.org/imrd/directdoc.asp?DDFDocuments/v/G/SPS/NCOL353A1.DOCX", "https://docs.wto.org/imrd/directdoc.asp?DDFDocuments/v/G/SPS/NCOL353A1.DOCX")</f>
      </c>
    </row>
    <row r="739">
      <c r="A739" s="6" t="s">
        <v>115</v>
      </c>
      <c r="B739" s="7">
        <v>45511</v>
      </c>
      <c r="C739" s="6">
        <f>HYPERLINK("https://eping.wto.org/en/Search?viewData= G/SPS/N/BRA/2300/Add.1"," G/SPS/N/BRA/2300/Add.1")</f>
      </c>
      <c r="D739" s="8" t="s">
        <v>2625</v>
      </c>
      <c r="E739" s="8" t="s">
        <v>2626</v>
      </c>
      <c r="F739" s="8" t="s">
        <v>1951</v>
      </c>
      <c r="G739" s="6" t="s">
        <v>40</v>
      </c>
      <c r="H739" s="6" t="s">
        <v>398</v>
      </c>
      <c r="I739" s="6" t="s">
        <v>38</v>
      </c>
      <c r="J739" s="6" t="s">
        <v>2627</v>
      </c>
      <c r="K739" s="6"/>
      <c r="L739" s="7">
        <v>45571</v>
      </c>
      <c r="M739" s="6" t="s">
        <v>76</v>
      </c>
      <c r="N739" s="8" t="s">
        <v>2628</v>
      </c>
      <c r="O739" s="6">
        <f>HYPERLINK("https://docs.wto.org/imrd/directdoc.asp?DDFDocuments/t/G/SPS/NBRA2300A1.DOCX", "https://docs.wto.org/imrd/directdoc.asp?DDFDocuments/t/G/SPS/NBRA2300A1.DOCX")</f>
      </c>
      <c r="P739" s="6">
        <f>HYPERLINK("https://docs.wto.org/imrd/directdoc.asp?DDFDocuments/u/G/SPS/NBRA2300A1.DOCX", "https://docs.wto.org/imrd/directdoc.asp?DDFDocuments/u/G/SPS/NBRA2300A1.DOCX")</f>
      </c>
      <c r="Q739" s="6">
        <f>HYPERLINK("https://docs.wto.org/imrd/directdoc.asp?DDFDocuments/v/G/SPS/NBRA2300A1.DOCX", "https://docs.wto.org/imrd/directdoc.asp?DDFDocuments/v/G/SPS/NBRA2300A1.DOCX")</f>
      </c>
    </row>
    <row r="740">
      <c r="A740" s="6" t="s">
        <v>2024</v>
      </c>
      <c r="B740" s="7">
        <v>45511</v>
      </c>
      <c r="C740" s="6">
        <f>HYPERLINK("https://eping.wto.org/en/Search?viewData= G/TBT/N/BDI/388/Add.1, G/TBT/N/KEN/1468/Add.1, G/TBT/N/RWA/900/Add.1, G/TBT/N/TZA/1002/Add.1, G/TBT/N/UGA/1807/Add.1"," G/TBT/N/BDI/388/Add.1, G/TBT/N/KEN/1468/Add.1, G/TBT/N/RWA/900/Add.1, G/TBT/N/TZA/1002/Add.1, G/TBT/N/UGA/1807/Add.1")</f>
      </c>
      <c r="D740" s="8" t="s">
        <v>2571</v>
      </c>
      <c r="E740" s="8" t="s">
        <v>2599</v>
      </c>
      <c r="F740" s="8" t="s">
        <v>2555</v>
      </c>
      <c r="G740" s="6" t="s">
        <v>2546</v>
      </c>
      <c r="H740" s="6" t="s">
        <v>2547</v>
      </c>
      <c r="I740" s="6" t="s">
        <v>2456</v>
      </c>
      <c r="J740" s="6" t="s">
        <v>122</v>
      </c>
      <c r="K740" s="6"/>
      <c r="L740" s="7" t="s">
        <v>40</v>
      </c>
      <c r="M740" s="6" t="s">
        <v>76</v>
      </c>
      <c r="N740" s="6"/>
      <c r="O740" s="6">
        <f>HYPERLINK("https://docs.wto.org/imrd/directdoc.asp?DDFDocuments/t/G/TBTN23/BDI388A1.DOCX", "https://docs.wto.org/imrd/directdoc.asp?DDFDocuments/t/G/TBTN23/BDI388A1.DOCX")</f>
      </c>
      <c r="P740" s="6">
        <f>HYPERLINK("https://docs.wto.org/imrd/directdoc.asp?DDFDocuments/u/G/TBTN23/BDI388A1.DOCX", "https://docs.wto.org/imrd/directdoc.asp?DDFDocuments/u/G/TBTN23/BDI388A1.DOCX")</f>
      </c>
      <c r="Q740" s="6">
        <f>HYPERLINK("https://docs.wto.org/imrd/directdoc.asp?DDFDocuments/v/G/TBTN23/BDI388A1.DOCX", "https://docs.wto.org/imrd/directdoc.asp?DDFDocuments/v/G/TBTN23/BDI388A1.DOCX")</f>
      </c>
    </row>
    <row r="741">
      <c r="A741" s="6" t="s">
        <v>412</v>
      </c>
      <c r="B741" s="7">
        <v>45511</v>
      </c>
      <c r="C741" s="6">
        <f>HYPERLINK("https://eping.wto.org/en/Search?viewData= G/SPS/N/COL/352/Add.1"," G/SPS/N/COL/352/Add.1")</f>
      </c>
      <c r="D741" s="8" t="s">
        <v>2629</v>
      </c>
      <c r="E741" s="8" t="s">
        <v>2629</v>
      </c>
      <c r="F741" s="8" t="s">
        <v>2630</v>
      </c>
      <c r="G741" s="6" t="s">
        <v>2631</v>
      </c>
      <c r="H741" s="6" t="s">
        <v>40</v>
      </c>
      <c r="I741" s="6" t="s">
        <v>2632</v>
      </c>
      <c r="J741" s="6" t="s">
        <v>2633</v>
      </c>
      <c r="K741" s="6"/>
      <c r="L741" s="7" t="s">
        <v>40</v>
      </c>
      <c r="M741" s="6" t="s">
        <v>76</v>
      </c>
      <c r="N741" s="8" t="s">
        <v>2634</v>
      </c>
      <c r="O741" s="6">
        <f>HYPERLINK("https://docs.wto.org/imrd/directdoc.asp?DDFDocuments/t/G/SPS/NCOL352A1.DOCX", "https://docs.wto.org/imrd/directdoc.asp?DDFDocuments/t/G/SPS/NCOL352A1.DOCX")</f>
      </c>
      <c r="P741" s="6">
        <f>HYPERLINK("https://docs.wto.org/imrd/directdoc.asp?DDFDocuments/u/G/SPS/NCOL352A1.DOCX", "https://docs.wto.org/imrd/directdoc.asp?DDFDocuments/u/G/SPS/NCOL352A1.DOCX")</f>
      </c>
      <c r="Q741" s="6">
        <f>HYPERLINK("https://docs.wto.org/imrd/directdoc.asp?DDFDocuments/v/G/SPS/NCOL352A1.DOCX", "https://docs.wto.org/imrd/directdoc.asp?DDFDocuments/v/G/SPS/NCOL352A1.DOCX")</f>
      </c>
    </row>
    <row r="742">
      <c r="A742" s="6" t="s">
        <v>401</v>
      </c>
      <c r="B742" s="7">
        <v>45511</v>
      </c>
      <c r="C742" s="6">
        <f>HYPERLINK("https://eping.wto.org/en/Search?viewData= G/TBT/N/KOR/1223"," G/TBT/N/KOR/1223")</f>
      </c>
      <c r="D742" s="8" t="s">
        <v>2635</v>
      </c>
      <c r="E742" s="8" t="s">
        <v>2636</v>
      </c>
      <c r="F742" s="8" t="s">
        <v>2637</v>
      </c>
      <c r="G742" s="6" t="s">
        <v>40</v>
      </c>
      <c r="H742" s="6" t="s">
        <v>40</v>
      </c>
      <c r="I742" s="6" t="s">
        <v>142</v>
      </c>
      <c r="J742" s="6" t="s">
        <v>40</v>
      </c>
      <c r="K742" s="6"/>
      <c r="L742" s="7">
        <v>45571</v>
      </c>
      <c r="M742" s="6" t="s">
        <v>25</v>
      </c>
      <c r="N742" s="8" t="s">
        <v>2638</v>
      </c>
      <c r="O742" s="6">
        <f>HYPERLINK("https://docs.wto.org/imrd/directdoc.asp?DDFDocuments/t/G/TBTN24/KOR1223.DOCX", "https://docs.wto.org/imrd/directdoc.asp?DDFDocuments/t/G/TBTN24/KOR1223.DOCX")</f>
      </c>
      <c r="P742" s="6">
        <f>HYPERLINK("https://docs.wto.org/imrd/directdoc.asp?DDFDocuments/u/G/TBTN24/KOR1223.DOCX", "https://docs.wto.org/imrd/directdoc.asp?DDFDocuments/u/G/TBTN24/KOR1223.DOCX")</f>
      </c>
      <c r="Q742" s="6">
        <f>HYPERLINK("https://docs.wto.org/imrd/directdoc.asp?DDFDocuments/v/G/TBTN24/KOR1223.DOCX", "https://docs.wto.org/imrd/directdoc.asp?DDFDocuments/v/G/TBTN24/KOR1223.DOCX")</f>
      </c>
    </row>
    <row r="743">
      <c r="A743" s="6" t="s">
        <v>515</v>
      </c>
      <c r="B743" s="7">
        <v>45511</v>
      </c>
      <c r="C743" s="6">
        <f>HYPERLINK("https://eping.wto.org/en/Search?viewData= G/TBT/N/EU/1082"," G/TBT/N/EU/1082")</f>
      </c>
      <c r="D743" s="8" t="s">
        <v>2639</v>
      </c>
      <c r="E743" s="8" t="s">
        <v>2640</v>
      </c>
      <c r="F743" s="8" t="s">
        <v>2641</v>
      </c>
      <c r="G743" s="6" t="s">
        <v>40</v>
      </c>
      <c r="H743" s="6" t="s">
        <v>336</v>
      </c>
      <c r="I743" s="6" t="s">
        <v>147</v>
      </c>
      <c r="J743" s="6" t="s">
        <v>24</v>
      </c>
      <c r="K743" s="6"/>
      <c r="L743" s="7">
        <v>45571</v>
      </c>
      <c r="M743" s="6" t="s">
        <v>25</v>
      </c>
      <c r="N743" s="8" t="s">
        <v>2642</v>
      </c>
      <c r="O743" s="6">
        <f>HYPERLINK("https://docs.wto.org/imrd/directdoc.asp?DDFDocuments/t/G/TBTN24/EU1082.DOCX", "https://docs.wto.org/imrd/directdoc.asp?DDFDocuments/t/G/TBTN24/EU1082.DOCX")</f>
      </c>
      <c r="P743" s="6">
        <f>HYPERLINK("https://docs.wto.org/imrd/directdoc.asp?DDFDocuments/u/G/TBTN24/EU1082.DOCX", "https://docs.wto.org/imrd/directdoc.asp?DDFDocuments/u/G/TBTN24/EU1082.DOCX")</f>
      </c>
      <c r="Q743" s="6">
        <f>HYPERLINK("https://docs.wto.org/imrd/directdoc.asp?DDFDocuments/v/G/TBTN24/EU1082.DOCX", "https://docs.wto.org/imrd/directdoc.asp?DDFDocuments/v/G/TBTN24/EU1082.DOCX")</f>
      </c>
    </row>
    <row r="744">
      <c r="A744" s="6" t="s">
        <v>401</v>
      </c>
      <c r="B744" s="7">
        <v>45511</v>
      </c>
      <c r="C744" s="6">
        <f>HYPERLINK("https://eping.wto.org/en/Search?viewData= G/TBT/N/KOR/1222"," G/TBT/N/KOR/1222")</f>
      </c>
      <c r="D744" s="8" t="s">
        <v>2643</v>
      </c>
      <c r="E744" s="8" t="s">
        <v>2644</v>
      </c>
      <c r="F744" s="8" t="s">
        <v>2645</v>
      </c>
      <c r="G744" s="6" t="s">
        <v>2646</v>
      </c>
      <c r="H744" s="6" t="s">
        <v>40</v>
      </c>
      <c r="I744" s="6" t="s">
        <v>2647</v>
      </c>
      <c r="J744" s="6" t="s">
        <v>24</v>
      </c>
      <c r="K744" s="6"/>
      <c r="L744" s="7">
        <v>45571</v>
      </c>
      <c r="M744" s="6" t="s">
        <v>25</v>
      </c>
      <c r="N744" s="8" t="s">
        <v>2648</v>
      </c>
      <c r="O744" s="6">
        <f>HYPERLINK("https://docs.wto.org/imrd/directdoc.asp?DDFDocuments/t/G/TBTN24/KOR1222.DOCX", "https://docs.wto.org/imrd/directdoc.asp?DDFDocuments/t/G/TBTN24/KOR1222.DOCX")</f>
      </c>
      <c r="P744" s="6">
        <f>HYPERLINK("https://docs.wto.org/imrd/directdoc.asp?DDFDocuments/u/G/TBTN24/KOR1222.DOCX", "https://docs.wto.org/imrd/directdoc.asp?DDFDocuments/u/G/TBTN24/KOR1222.DOCX")</f>
      </c>
      <c r="Q744" s="6">
        <f>HYPERLINK("https://docs.wto.org/imrd/directdoc.asp?DDFDocuments/v/G/TBTN24/KOR1222.DOCX", "https://docs.wto.org/imrd/directdoc.asp?DDFDocuments/v/G/TBTN24/KOR1222.DOCX")</f>
      </c>
    </row>
    <row r="745">
      <c r="A745" s="6" t="s">
        <v>160</v>
      </c>
      <c r="B745" s="7">
        <v>45511</v>
      </c>
      <c r="C745" s="6">
        <f>HYPERLINK("https://eping.wto.org/en/Search?viewData= G/TBT/N/USA/1967/Add.1"," G/TBT/N/USA/1967/Add.1")</f>
      </c>
      <c r="D745" s="8" t="s">
        <v>2649</v>
      </c>
      <c r="E745" s="8" t="s">
        <v>2650</v>
      </c>
      <c r="F745" s="8" t="s">
        <v>2651</v>
      </c>
      <c r="G745" s="6" t="s">
        <v>40</v>
      </c>
      <c r="H745" s="6" t="s">
        <v>2652</v>
      </c>
      <c r="I745" s="6" t="s">
        <v>2653</v>
      </c>
      <c r="J745" s="6" t="s">
        <v>154</v>
      </c>
      <c r="K745" s="6"/>
      <c r="L745" s="7">
        <v>45534</v>
      </c>
      <c r="M745" s="6" t="s">
        <v>76</v>
      </c>
      <c r="N745" s="8" t="s">
        <v>2654</v>
      </c>
      <c r="O745" s="6">
        <f>HYPERLINK("https://docs.wto.org/imrd/directdoc.asp?DDFDocuments/t/G/TBTN23/USA1967A1.DOCX", "https://docs.wto.org/imrd/directdoc.asp?DDFDocuments/t/G/TBTN23/USA1967A1.DOCX")</f>
      </c>
      <c r="P745" s="6">
        <f>HYPERLINK("https://docs.wto.org/imrd/directdoc.asp?DDFDocuments/u/G/TBTN23/USA1967A1.DOCX", "https://docs.wto.org/imrd/directdoc.asp?DDFDocuments/u/G/TBTN23/USA1967A1.DOCX")</f>
      </c>
      <c r="Q745" s="6">
        <f>HYPERLINK("https://docs.wto.org/imrd/directdoc.asp?DDFDocuments/v/G/TBTN23/USA1967A1.DOCX", "https://docs.wto.org/imrd/directdoc.asp?DDFDocuments/v/G/TBTN23/USA1967A1.DOCX")</f>
      </c>
    </row>
    <row r="746">
      <c r="A746" s="6" t="s">
        <v>99</v>
      </c>
      <c r="B746" s="7">
        <v>45511</v>
      </c>
      <c r="C746" s="6">
        <f>HYPERLINK("https://eping.wto.org/en/Search?viewData= G/SPS/N/AUS/594"," G/SPS/N/AUS/594")</f>
      </c>
      <c r="D746" s="8" t="s">
        <v>2655</v>
      </c>
      <c r="E746" s="8" t="s">
        <v>2656</v>
      </c>
      <c r="F746" s="8" t="s">
        <v>2657</v>
      </c>
      <c r="G746" s="6" t="s">
        <v>2658</v>
      </c>
      <c r="H746" s="6" t="s">
        <v>40</v>
      </c>
      <c r="I746" s="6" t="s">
        <v>353</v>
      </c>
      <c r="J746" s="6" t="s">
        <v>1962</v>
      </c>
      <c r="K746" s="6" t="s">
        <v>40</v>
      </c>
      <c r="L746" s="7">
        <v>45571</v>
      </c>
      <c r="M746" s="6" t="s">
        <v>25</v>
      </c>
      <c r="N746" s="8" t="s">
        <v>2659</v>
      </c>
      <c r="O746" s="6">
        <f>HYPERLINK("https://docs.wto.org/imrd/directdoc.asp?DDFDocuments/t/G/SPS/NAUS594.DOCX", "https://docs.wto.org/imrd/directdoc.asp?DDFDocuments/t/G/SPS/NAUS594.DOCX")</f>
      </c>
      <c r="P746" s="6">
        <f>HYPERLINK("https://docs.wto.org/imrd/directdoc.asp?DDFDocuments/u/G/SPS/NAUS594.DOCX", "https://docs.wto.org/imrd/directdoc.asp?DDFDocuments/u/G/SPS/NAUS594.DOCX")</f>
      </c>
      <c r="Q746" s="6">
        <f>HYPERLINK("https://docs.wto.org/imrd/directdoc.asp?DDFDocuments/v/G/SPS/NAUS594.DOCX", "https://docs.wto.org/imrd/directdoc.asp?DDFDocuments/v/G/SPS/NAUS594.DOCX")</f>
      </c>
    </row>
    <row r="747">
      <c r="A747" s="6" t="s">
        <v>17</v>
      </c>
      <c r="B747" s="7">
        <v>45511</v>
      </c>
      <c r="C747" s="6">
        <f>HYPERLINK("https://eping.wto.org/en/Search?viewData= G/TBT/N/BDI/388/Add.1, G/TBT/N/KEN/1468/Add.1, G/TBT/N/RWA/900/Add.1, G/TBT/N/TZA/1002/Add.1, G/TBT/N/UGA/1807/Add.1"," G/TBT/N/BDI/388/Add.1, G/TBT/N/KEN/1468/Add.1, G/TBT/N/RWA/900/Add.1, G/TBT/N/TZA/1002/Add.1, G/TBT/N/UGA/1807/Add.1")</f>
      </c>
      <c r="D747" s="8" t="s">
        <v>2571</v>
      </c>
      <c r="E747" s="8" t="s">
        <v>2599</v>
      </c>
      <c r="F747" s="8" t="s">
        <v>2555</v>
      </c>
      <c r="G747" s="6" t="s">
        <v>2546</v>
      </c>
      <c r="H747" s="6" t="s">
        <v>2547</v>
      </c>
      <c r="I747" s="6" t="s">
        <v>2456</v>
      </c>
      <c r="J747" s="6" t="s">
        <v>122</v>
      </c>
      <c r="K747" s="6"/>
      <c r="L747" s="7" t="s">
        <v>40</v>
      </c>
      <c r="M747" s="6" t="s">
        <v>76</v>
      </c>
      <c r="N747" s="6"/>
      <c r="O747" s="6">
        <f>HYPERLINK("https://docs.wto.org/imrd/directdoc.asp?DDFDocuments/t/G/TBTN23/BDI388A1.DOCX", "https://docs.wto.org/imrd/directdoc.asp?DDFDocuments/t/G/TBTN23/BDI388A1.DOCX")</f>
      </c>
      <c r="P747" s="6">
        <f>HYPERLINK("https://docs.wto.org/imrd/directdoc.asp?DDFDocuments/u/G/TBTN23/BDI388A1.DOCX", "https://docs.wto.org/imrd/directdoc.asp?DDFDocuments/u/G/TBTN23/BDI388A1.DOCX")</f>
      </c>
      <c r="Q747" s="6">
        <f>HYPERLINK("https://docs.wto.org/imrd/directdoc.asp?DDFDocuments/v/G/TBTN23/BDI388A1.DOCX", "https://docs.wto.org/imrd/directdoc.asp?DDFDocuments/v/G/TBTN23/BDI388A1.DOCX")</f>
      </c>
    </row>
    <row r="748">
      <c r="A748" s="6" t="s">
        <v>160</v>
      </c>
      <c r="B748" s="7">
        <v>45511</v>
      </c>
      <c r="C748" s="6">
        <f>HYPERLINK("https://eping.wto.org/en/Search?viewData= G/TBT/N/USA/1336/Rev.1/Add.2/Corr.1"," G/TBT/N/USA/1336/Rev.1/Add.2/Corr.1")</f>
      </c>
      <c r="D748" s="8" t="s">
        <v>1356</v>
      </c>
      <c r="E748" s="8" t="s">
        <v>2660</v>
      </c>
      <c r="F748" s="8" t="s">
        <v>1358</v>
      </c>
      <c r="G748" s="6" t="s">
        <v>40</v>
      </c>
      <c r="H748" s="6" t="s">
        <v>2661</v>
      </c>
      <c r="I748" s="6" t="s">
        <v>993</v>
      </c>
      <c r="J748" s="6" t="s">
        <v>40</v>
      </c>
      <c r="K748" s="6"/>
      <c r="L748" s="7" t="s">
        <v>40</v>
      </c>
      <c r="M748" s="6" t="s">
        <v>224</v>
      </c>
      <c r="N748" s="6"/>
      <c r="O748" s="6">
        <f>HYPERLINK("https://docs.wto.org/imrd/directdoc.asp?DDFDocuments/t/G/TBTN18/USA1336R1A2C1.DOCX", "https://docs.wto.org/imrd/directdoc.asp?DDFDocuments/t/G/TBTN18/USA1336R1A2C1.DOCX")</f>
      </c>
      <c r="P748" s="6">
        <f>HYPERLINK("https://docs.wto.org/imrd/directdoc.asp?DDFDocuments/u/G/TBTN18/USA1336R1A2C1.DOCX", "https://docs.wto.org/imrd/directdoc.asp?DDFDocuments/u/G/TBTN18/USA1336R1A2C1.DOCX")</f>
      </c>
      <c r="Q748" s="6">
        <f>HYPERLINK("https://docs.wto.org/imrd/directdoc.asp?DDFDocuments/v/G/TBTN18/USA1336R1A2C1.DOCX", "https://docs.wto.org/imrd/directdoc.asp?DDFDocuments/v/G/TBTN18/USA1336R1A2C1.DOCX")</f>
      </c>
    </row>
    <row r="749">
      <c r="A749" s="6" t="s">
        <v>2041</v>
      </c>
      <c r="B749" s="7">
        <v>45511</v>
      </c>
      <c r="C749" s="6">
        <f>HYPERLINK("https://eping.wto.org/en/Search?viewData= G/TBT/N/BDI/388/Add.1, G/TBT/N/KEN/1468/Add.1, G/TBT/N/RWA/900/Add.1, G/TBT/N/TZA/1002/Add.1, G/TBT/N/UGA/1807/Add.1"," G/TBT/N/BDI/388/Add.1, G/TBT/N/KEN/1468/Add.1, G/TBT/N/RWA/900/Add.1, G/TBT/N/TZA/1002/Add.1, G/TBT/N/UGA/1807/Add.1")</f>
      </c>
      <c r="D749" s="8" t="s">
        <v>2571</v>
      </c>
      <c r="E749" s="8" t="s">
        <v>2599</v>
      </c>
      <c r="F749" s="8" t="s">
        <v>2555</v>
      </c>
      <c r="G749" s="6" t="s">
        <v>2546</v>
      </c>
      <c r="H749" s="6" t="s">
        <v>2547</v>
      </c>
      <c r="I749" s="6" t="s">
        <v>2456</v>
      </c>
      <c r="J749" s="6" t="s">
        <v>122</v>
      </c>
      <c r="K749" s="6"/>
      <c r="L749" s="7" t="s">
        <v>40</v>
      </c>
      <c r="M749" s="6" t="s">
        <v>76</v>
      </c>
      <c r="N749" s="6"/>
      <c r="O749" s="6">
        <f>HYPERLINK("https://docs.wto.org/imrd/directdoc.asp?DDFDocuments/t/G/TBTN23/BDI388A1.DOCX", "https://docs.wto.org/imrd/directdoc.asp?DDFDocuments/t/G/TBTN23/BDI388A1.DOCX")</f>
      </c>
      <c r="P749" s="6">
        <f>HYPERLINK("https://docs.wto.org/imrd/directdoc.asp?DDFDocuments/u/G/TBTN23/BDI388A1.DOCX", "https://docs.wto.org/imrd/directdoc.asp?DDFDocuments/u/G/TBTN23/BDI388A1.DOCX")</f>
      </c>
      <c r="Q749" s="6">
        <f>HYPERLINK("https://docs.wto.org/imrd/directdoc.asp?DDFDocuments/v/G/TBTN23/BDI388A1.DOCX", "https://docs.wto.org/imrd/directdoc.asp?DDFDocuments/v/G/TBTN23/BDI388A1.DOCX")</f>
      </c>
    </row>
    <row r="750">
      <c r="A750" s="6" t="s">
        <v>2030</v>
      </c>
      <c r="B750" s="7">
        <v>45511</v>
      </c>
      <c r="C750" s="6">
        <f>HYPERLINK("https://eping.wto.org/en/Search?viewData= G/TBT/N/BDI/388/Add.1, G/TBT/N/KEN/1468/Add.1, G/TBT/N/RWA/900/Add.1, G/TBT/N/TZA/1002/Add.1, G/TBT/N/UGA/1807/Add.1"," G/TBT/N/BDI/388/Add.1, G/TBT/N/KEN/1468/Add.1, G/TBT/N/RWA/900/Add.1, G/TBT/N/TZA/1002/Add.1, G/TBT/N/UGA/1807/Add.1")</f>
      </c>
      <c r="D750" s="8" t="s">
        <v>2571</v>
      </c>
      <c r="E750" s="8" t="s">
        <v>2599</v>
      </c>
      <c r="F750" s="8" t="s">
        <v>2555</v>
      </c>
      <c r="G750" s="6" t="s">
        <v>2546</v>
      </c>
      <c r="H750" s="6" t="s">
        <v>2547</v>
      </c>
      <c r="I750" s="6" t="s">
        <v>2456</v>
      </c>
      <c r="J750" s="6" t="s">
        <v>122</v>
      </c>
      <c r="K750" s="6"/>
      <c r="L750" s="7" t="s">
        <v>40</v>
      </c>
      <c r="M750" s="6" t="s">
        <v>76</v>
      </c>
      <c r="N750" s="6"/>
      <c r="O750" s="6">
        <f>HYPERLINK("https://docs.wto.org/imrd/directdoc.asp?DDFDocuments/t/G/TBTN23/BDI388A1.DOCX", "https://docs.wto.org/imrd/directdoc.asp?DDFDocuments/t/G/TBTN23/BDI388A1.DOCX")</f>
      </c>
      <c r="P750" s="6">
        <f>HYPERLINK("https://docs.wto.org/imrd/directdoc.asp?DDFDocuments/u/G/TBTN23/BDI388A1.DOCX", "https://docs.wto.org/imrd/directdoc.asp?DDFDocuments/u/G/TBTN23/BDI388A1.DOCX")</f>
      </c>
      <c r="Q750" s="6">
        <f>HYPERLINK("https://docs.wto.org/imrd/directdoc.asp?DDFDocuments/v/G/TBTN23/BDI388A1.DOCX", "https://docs.wto.org/imrd/directdoc.asp?DDFDocuments/v/G/TBTN23/BDI388A1.DOCX")</f>
      </c>
    </row>
    <row r="751">
      <c r="A751" s="6" t="s">
        <v>392</v>
      </c>
      <c r="B751" s="7">
        <v>45511</v>
      </c>
      <c r="C751" s="6">
        <f>HYPERLINK("https://eping.wto.org/en/Search?viewData= G/TBT/N/SAU/1341"," G/TBT/N/SAU/1341")</f>
      </c>
      <c r="D751" s="8" t="s">
        <v>2662</v>
      </c>
      <c r="E751" s="8" t="s">
        <v>2663</v>
      </c>
      <c r="F751" s="8" t="s">
        <v>2664</v>
      </c>
      <c r="G751" s="6" t="s">
        <v>40</v>
      </c>
      <c r="H751" s="6" t="s">
        <v>2665</v>
      </c>
      <c r="I751" s="6" t="s">
        <v>1926</v>
      </c>
      <c r="J751" s="6" t="s">
        <v>40</v>
      </c>
      <c r="K751" s="6"/>
      <c r="L751" s="7">
        <v>45541</v>
      </c>
      <c r="M751" s="6" t="s">
        <v>25</v>
      </c>
      <c r="N751" s="8" t="s">
        <v>2666</v>
      </c>
      <c r="O751" s="6">
        <f>HYPERLINK("https://docs.wto.org/imrd/directdoc.asp?DDFDocuments/t/G/TBTN24/SAU1341.DOCX", "https://docs.wto.org/imrd/directdoc.asp?DDFDocuments/t/G/TBTN24/SAU1341.DOCX")</f>
      </c>
      <c r="P751" s="6">
        <f>HYPERLINK("https://docs.wto.org/imrd/directdoc.asp?DDFDocuments/u/G/TBTN24/SAU1341.DOCX", "https://docs.wto.org/imrd/directdoc.asp?DDFDocuments/u/G/TBTN24/SAU1341.DOCX")</f>
      </c>
      <c r="Q751" s="6">
        <f>HYPERLINK("https://docs.wto.org/imrd/directdoc.asp?DDFDocuments/v/G/TBTN24/SAU1341.DOCX", "https://docs.wto.org/imrd/directdoc.asp?DDFDocuments/v/G/TBTN24/SAU1341.DOCX")</f>
      </c>
    </row>
    <row r="752">
      <c r="A752" s="6" t="s">
        <v>412</v>
      </c>
      <c r="B752" s="7">
        <v>45511</v>
      </c>
      <c r="C752" s="6">
        <f>HYPERLINK("https://eping.wto.org/en/Search?viewData= G/SPS/N/COL/362"," G/SPS/N/COL/362")</f>
      </c>
      <c r="D752" s="8" t="s">
        <v>2667</v>
      </c>
      <c r="E752" s="8" t="s">
        <v>2668</v>
      </c>
      <c r="F752" s="8" t="s">
        <v>2539</v>
      </c>
      <c r="G752" s="6" t="s">
        <v>40</v>
      </c>
      <c r="H752" s="6" t="s">
        <v>40</v>
      </c>
      <c r="I752" s="6" t="s">
        <v>2669</v>
      </c>
      <c r="J752" s="6" t="s">
        <v>2670</v>
      </c>
      <c r="K752" s="6" t="s">
        <v>115</v>
      </c>
      <c r="L752" s="7" t="s">
        <v>40</v>
      </c>
      <c r="M752" s="6" t="s">
        <v>356</v>
      </c>
      <c r="N752" s="8" t="s">
        <v>2671</v>
      </c>
      <c r="O752" s="6">
        <f>HYPERLINK("https://docs.wto.org/imrd/directdoc.asp?DDFDocuments/t/G/SPS/NCOL362.DOCX", "https://docs.wto.org/imrd/directdoc.asp?DDFDocuments/t/G/SPS/NCOL362.DOCX")</f>
      </c>
      <c r="P752" s="6">
        <f>HYPERLINK("https://docs.wto.org/imrd/directdoc.asp?DDFDocuments/u/G/SPS/NCOL362.DOCX", "https://docs.wto.org/imrd/directdoc.asp?DDFDocuments/u/G/SPS/NCOL362.DOCX")</f>
      </c>
      <c r="Q752" s="6">
        <f>HYPERLINK("https://docs.wto.org/imrd/directdoc.asp?DDFDocuments/v/G/SPS/NCOL362.DOCX", "https://docs.wto.org/imrd/directdoc.asp?DDFDocuments/v/G/SPS/NCOL362.DOCX")</f>
      </c>
    </row>
    <row r="753">
      <c r="A753" s="6" t="s">
        <v>2672</v>
      </c>
      <c r="B753" s="7">
        <v>45511</v>
      </c>
      <c r="C753" s="6">
        <f>HYPERLINK("https://eping.wto.org/en/Search?viewData= G/SPS/N/MAR/106"," G/SPS/N/MAR/106")</f>
      </c>
      <c r="D753" s="8" t="s">
        <v>2673</v>
      </c>
      <c r="E753" s="8" t="s">
        <v>2674</v>
      </c>
      <c r="F753" s="8" t="s">
        <v>2675</v>
      </c>
      <c r="G753" s="6" t="s">
        <v>40</v>
      </c>
      <c r="H753" s="6" t="s">
        <v>40</v>
      </c>
      <c r="I753" s="6" t="s">
        <v>38</v>
      </c>
      <c r="J753" s="6" t="s">
        <v>2676</v>
      </c>
      <c r="K753" s="6" t="s">
        <v>40</v>
      </c>
      <c r="L753" s="7">
        <v>45571</v>
      </c>
      <c r="M753" s="6" t="s">
        <v>25</v>
      </c>
      <c r="N753" s="8" t="s">
        <v>2677</v>
      </c>
      <c r="O753" s="6">
        <f>HYPERLINK("https://docs.wto.org/imrd/directdoc.asp?DDFDocuments/t/G/SPS/NMAR106.DOCX", "https://docs.wto.org/imrd/directdoc.asp?DDFDocuments/t/G/SPS/NMAR106.DOCX")</f>
      </c>
      <c r="P753" s="6">
        <f>HYPERLINK("https://docs.wto.org/imrd/directdoc.asp?DDFDocuments/u/G/SPS/NMAR106.DOCX", "https://docs.wto.org/imrd/directdoc.asp?DDFDocuments/u/G/SPS/NMAR106.DOCX")</f>
      </c>
      <c r="Q753" s="6">
        <f>HYPERLINK("https://docs.wto.org/imrd/directdoc.asp?DDFDocuments/v/G/SPS/NMAR106.DOCX", "https://docs.wto.org/imrd/directdoc.asp?DDFDocuments/v/G/SPS/NMAR106.DOCX")</f>
      </c>
    </row>
    <row r="754">
      <c r="A754" s="6" t="s">
        <v>2672</v>
      </c>
      <c r="B754" s="7">
        <v>45511</v>
      </c>
      <c r="C754" s="6">
        <f>HYPERLINK("https://eping.wto.org/en/Search?viewData= G/SPS/N/MAR/107"," G/SPS/N/MAR/107")</f>
      </c>
      <c r="D754" s="8" t="s">
        <v>2678</v>
      </c>
      <c r="E754" s="8" t="s">
        <v>2679</v>
      </c>
      <c r="F754" s="8" t="s">
        <v>2680</v>
      </c>
      <c r="G754" s="6" t="s">
        <v>40</v>
      </c>
      <c r="H754" s="6" t="s">
        <v>40</v>
      </c>
      <c r="I754" s="6" t="s">
        <v>38</v>
      </c>
      <c r="J754" s="6" t="s">
        <v>2676</v>
      </c>
      <c r="K754" s="6" t="s">
        <v>40</v>
      </c>
      <c r="L754" s="7">
        <v>45571</v>
      </c>
      <c r="M754" s="6" t="s">
        <v>25</v>
      </c>
      <c r="N754" s="8" t="s">
        <v>2681</v>
      </c>
      <c r="O754" s="6">
        <f>HYPERLINK("https://docs.wto.org/imrd/directdoc.asp?DDFDocuments/t/G/SPS/NMAR107.DOCX", "https://docs.wto.org/imrd/directdoc.asp?DDFDocuments/t/G/SPS/NMAR107.DOCX")</f>
      </c>
      <c r="P754" s="6">
        <f>HYPERLINK("https://docs.wto.org/imrd/directdoc.asp?DDFDocuments/u/G/SPS/NMAR107.DOCX", "https://docs.wto.org/imrd/directdoc.asp?DDFDocuments/u/G/SPS/NMAR107.DOCX")</f>
      </c>
      <c r="Q754" s="6">
        <f>HYPERLINK("https://docs.wto.org/imrd/directdoc.asp?DDFDocuments/v/G/SPS/NMAR107.DOCX", "https://docs.wto.org/imrd/directdoc.asp?DDFDocuments/v/G/SPS/NMAR107.DOCX")</f>
      </c>
    </row>
    <row r="755">
      <c r="A755" s="6" t="s">
        <v>239</v>
      </c>
      <c r="B755" s="7">
        <v>45510</v>
      </c>
      <c r="C755" s="6">
        <f>HYPERLINK("https://eping.wto.org/en/Search?viewData= G/SPS/N/VNM/163"," G/SPS/N/VNM/163")</f>
      </c>
      <c r="D755" s="8" t="s">
        <v>2682</v>
      </c>
      <c r="E755" s="8" t="s">
        <v>2683</v>
      </c>
      <c r="F755" s="8" t="s">
        <v>2684</v>
      </c>
      <c r="G755" s="6" t="s">
        <v>40</v>
      </c>
      <c r="H755" s="6" t="s">
        <v>40</v>
      </c>
      <c r="I755" s="6" t="s">
        <v>353</v>
      </c>
      <c r="J755" s="6" t="s">
        <v>915</v>
      </c>
      <c r="K755" s="6" t="s">
        <v>40</v>
      </c>
      <c r="L755" s="7">
        <v>45570</v>
      </c>
      <c r="M755" s="6" t="s">
        <v>25</v>
      </c>
      <c r="N755" s="8" t="s">
        <v>2685</v>
      </c>
      <c r="O755" s="6">
        <f>HYPERLINK("https://docs.wto.org/imrd/directdoc.asp?DDFDocuments/t/G/SPS/NVNM163.DOCX", "https://docs.wto.org/imrd/directdoc.asp?DDFDocuments/t/G/SPS/NVNM163.DOCX")</f>
      </c>
      <c r="P755" s="6">
        <f>HYPERLINK("https://docs.wto.org/imrd/directdoc.asp?DDFDocuments/u/G/SPS/NVNM163.DOCX", "https://docs.wto.org/imrd/directdoc.asp?DDFDocuments/u/G/SPS/NVNM163.DOCX")</f>
      </c>
      <c r="Q755" s="6">
        <f>HYPERLINK("https://docs.wto.org/imrd/directdoc.asp?DDFDocuments/v/G/SPS/NVNM163.DOCX", "https://docs.wto.org/imrd/directdoc.asp?DDFDocuments/v/G/SPS/NVNM163.DOCX")</f>
      </c>
    </row>
    <row r="756">
      <c r="A756" s="6" t="s">
        <v>442</v>
      </c>
      <c r="B756" s="7">
        <v>45509</v>
      </c>
      <c r="C756" s="6">
        <f>HYPERLINK("https://eping.wto.org/en/Search?viewData= G/TBT/N/MEX/536"," G/TBT/N/MEX/536")</f>
      </c>
      <c r="D756" s="8" t="s">
        <v>2686</v>
      </c>
      <c r="E756" s="8" t="s">
        <v>2687</v>
      </c>
      <c r="F756" s="8" t="s">
        <v>2688</v>
      </c>
      <c r="G756" s="6" t="s">
        <v>40</v>
      </c>
      <c r="H756" s="6" t="s">
        <v>40</v>
      </c>
      <c r="I756" s="6" t="s">
        <v>147</v>
      </c>
      <c r="J756" s="6" t="s">
        <v>95</v>
      </c>
      <c r="K756" s="6"/>
      <c r="L756" s="7">
        <v>45569</v>
      </c>
      <c r="M756" s="6" t="s">
        <v>25</v>
      </c>
      <c r="N756" s="8" t="s">
        <v>2689</v>
      </c>
      <c r="O756" s="6">
        <f>HYPERLINK("https://docs.wto.org/imrd/directdoc.asp?DDFDocuments/t/G/TBTN24/MEX536.DOCX", "https://docs.wto.org/imrd/directdoc.asp?DDFDocuments/t/G/TBTN24/MEX536.DOCX")</f>
      </c>
      <c r="P756" s="6">
        <f>HYPERLINK("https://docs.wto.org/imrd/directdoc.asp?DDFDocuments/u/G/TBTN24/MEX536.DOCX", "https://docs.wto.org/imrd/directdoc.asp?DDFDocuments/u/G/TBTN24/MEX536.DOCX")</f>
      </c>
      <c r="Q756" s="6">
        <f>HYPERLINK("https://docs.wto.org/imrd/directdoc.asp?DDFDocuments/v/G/TBTN24/MEX536.DOCX", "https://docs.wto.org/imrd/directdoc.asp?DDFDocuments/v/G/TBTN24/MEX536.DOCX")</f>
      </c>
    </row>
    <row r="757">
      <c r="A757" s="6" t="s">
        <v>115</v>
      </c>
      <c r="B757" s="7">
        <v>45509</v>
      </c>
      <c r="C757" s="6">
        <f>HYPERLINK("https://eping.wto.org/en/Search?viewData= G/SPS/N/BRA/2318"," G/SPS/N/BRA/2318")</f>
      </c>
      <c r="D757" s="8" t="s">
        <v>2690</v>
      </c>
      <c r="E757" s="8" t="s">
        <v>2691</v>
      </c>
      <c r="F757" s="8" t="s">
        <v>2692</v>
      </c>
      <c r="G757" s="6" t="s">
        <v>40</v>
      </c>
      <c r="H757" s="6" t="s">
        <v>40</v>
      </c>
      <c r="I757" s="6" t="s">
        <v>184</v>
      </c>
      <c r="J757" s="6" t="s">
        <v>410</v>
      </c>
      <c r="K757" s="6" t="s">
        <v>40</v>
      </c>
      <c r="L757" s="7">
        <v>45569</v>
      </c>
      <c r="M757" s="6" t="s">
        <v>25</v>
      </c>
      <c r="N757" s="8" t="s">
        <v>2693</v>
      </c>
      <c r="O757" s="6">
        <f>HYPERLINK("https://docs.wto.org/imrd/directdoc.asp?DDFDocuments/t/G/SPS/NBRA2318.DOCX", "https://docs.wto.org/imrd/directdoc.asp?DDFDocuments/t/G/SPS/NBRA2318.DOCX")</f>
      </c>
      <c r="P757" s="6">
        <f>HYPERLINK("https://docs.wto.org/imrd/directdoc.asp?DDFDocuments/u/G/SPS/NBRA2318.DOCX", "https://docs.wto.org/imrd/directdoc.asp?DDFDocuments/u/G/SPS/NBRA2318.DOCX")</f>
      </c>
      <c r="Q757" s="6">
        <f>HYPERLINK("https://docs.wto.org/imrd/directdoc.asp?DDFDocuments/v/G/SPS/NBRA2318.DOCX", "https://docs.wto.org/imrd/directdoc.asp?DDFDocuments/v/G/SPS/NBRA2318.DOCX")</f>
      </c>
    </row>
    <row r="758">
      <c r="A758" s="6" t="s">
        <v>450</v>
      </c>
      <c r="B758" s="7">
        <v>45509</v>
      </c>
      <c r="C758" s="6">
        <f>HYPERLINK("https://eping.wto.org/en/Search?viewData= G/SPS/N/EGY/92/Add.8"," G/SPS/N/EGY/92/Add.8")</f>
      </c>
      <c r="D758" s="8" t="s">
        <v>2694</v>
      </c>
      <c r="E758" s="8" t="s">
        <v>2695</v>
      </c>
      <c r="F758" s="8" t="s">
        <v>518</v>
      </c>
      <c r="G758" s="6" t="s">
        <v>40</v>
      </c>
      <c r="H758" s="6" t="s">
        <v>40</v>
      </c>
      <c r="I758" s="6" t="s">
        <v>2312</v>
      </c>
      <c r="J758" s="6" t="s">
        <v>2696</v>
      </c>
      <c r="K758" s="6"/>
      <c r="L758" s="7" t="s">
        <v>40</v>
      </c>
      <c r="M758" s="6" t="s">
        <v>76</v>
      </c>
      <c r="N758" s="6"/>
      <c r="O758" s="6">
        <f>HYPERLINK("https://docs.wto.org/imrd/directdoc.asp?DDFDocuments/t/G/SPS/NEGY92A8.DOCX", "https://docs.wto.org/imrd/directdoc.asp?DDFDocuments/t/G/SPS/NEGY92A8.DOCX")</f>
      </c>
      <c r="P758" s="6">
        <f>HYPERLINK("https://docs.wto.org/imrd/directdoc.asp?DDFDocuments/u/G/SPS/NEGY92A8.DOCX", "https://docs.wto.org/imrd/directdoc.asp?DDFDocuments/u/G/SPS/NEGY92A8.DOCX")</f>
      </c>
      <c r="Q758" s="6">
        <f>HYPERLINK("https://docs.wto.org/imrd/directdoc.asp?DDFDocuments/v/G/SPS/NEGY92A8.DOCX", "https://docs.wto.org/imrd/directdoc.asp?DDFDocuments/v/G/SPS/NEGY92A8.DOCX")</f>
      </c>
    </row>
    <row r="759">
      <c r="A759" s="6" t="s">
        <v>160</v>
      </c>
      <c r="B759" s="7">
        <v>45509</v>
      </c>
      <c r="C759" s="6">
        <f>HYPERLINK("https://eping.wto.org/en/Search?viewData= G/TBT/N/USA/1802/Add.3/Corr.1"," G/TBT/N/USA/1802/Add.3/Corr.1")</f>
      </c>
      <c r="D759" s="8" t="s">
        <v>2697</v>
      </c>
      <c r="E759" s="8" t="s">
        <v>2698</v>
      </c>
      <c r="F759" s="8" t="s">
        <v>2699</v>
      </c>
      <c r="G759" s="6" t="s">
        <v>40</v>
      </c>
      <c r="H759" s="6" t="s">
        <v>2700</v>
      </c>
      <c r="I759" s="6" t="s">
        <v>165</v>
      </c>
      <c r="J759" s="6" t="s">
        <v>40</v>
      </c>
      <c r="K759" s="6"/>
      <c r="L759" s="7" t="s">
        <v>40</v>
      </c>
      <c r="M759" s="6" t="s">
        <v>224</v>
      </c>
      <c r="N759" s="8" t="s">
        <v>2701</v>
      </c>
      <c r="O759" s="6">
        <f>HYPERLINK("https://docs.wto.org/imrd/directdoc.asp?DDFDocuments/t/G/TBTN21/USA1802A3C1.DOCX", "https://docs.wto.org/imrd/directdoc.asp?DDFDocuments/t/G/TBTN21/USA1802A3C1.DOCX")</f>
      </c>
      <c r="P759" s="6">
        <f>HYPERLINK("https://docs.wto.org/imrd/directdoc.asp?DDFDocuments/u/G/TBTN21/USA1802A3C1.DOCX", "https://docs.wto.org/imrd/directdoc.asp?DDFDocuments/u/G/TBTN21/USA1802A3C1.DOCX")</f>
      </c>
      <c r="Q759" s="6">
        <f>HYPERLINK("https://docs.wto.org/imrd/directdoc.asp?DDFDocuments/v/G/TBTN21/USA1802A3C1.DOCX", "https://docs.wto.org/imrd/directdoc.asp?DDFDocuments/v/G/TBTN21/USA1802A3C1.DOCX")</f>
      </c>
    </row>
    <row r="760">
      <c r="A760" s="6" t="s">
        <v>2576</v>
      </c>
      <c r="B760" s="7">
        <v>45509</v>
      </c>
      <c r="C760" s="6">
        <f>HYPERLINK("https://eping.wto.org/en/Search?viewData= G/TBT/N/NPL/10"," G/TBT/N/NPL/10")</f>
      </c>
      <c r="D760" s="8" t="s">
        <v>2702</v>
      </c>
      <c r="E760" s="8" t="s">
        <v>2703</v>
      </c>
      <c r="F760" s="8" t="s">
        <v>2704</v>
      </c>
      <c r="G760" s="6" t="s">
        <v>40</v>
      </c>
      <c r="H760" s="6" t="s">
        <v>2705</v>
      </c>
      <c r="I760" s="6" t="s">
        <v>213</v>
      </c>
      <c r="J760" s="6" t="s">
        <v>40</v>
      </c>
      <c r="K760" s="6"/>
      <c r="L760" s="7" t="s">
        <v>40</v>
      </c>
      <c r="M760" s="6" t="s">
        <v>25</v>
      </c>
      <c r="N760" s="6"/>
      <c r="O760" s="6">
        <f>HYPERLINK("https://docs.wto.org/imrd/directdoc.asp?DDFDocuments/t/G/TBTN24/NPL10.DOCX", "https://docs.wto.org/imrd/directdoc.asp?DDFDocuments/t/G/TBTN24/NPL10.DOCX")</f>
      </c>
      <c r="P760" s="6">
        <f>HYPERLINK("https://docs.wto.org/imrd/directdoc.asp?DDFDocuments/u/G/TBTN24/NPL10.DOCX", "https://docs.wto.org/imrd/directdoc.asp?DDFDocuments/u/G/TBTN24/NPL10.DOCX")</f>
      </c>
      <c r="Q760" s="6">
        <f>HYPERLINK("https://docs.wto.org/imrd/directdoc.asp?DDFDocuments/v/G/TBTN24/NPL10.DOCX", "https://docs.wto.org/imrd/directdoc.asp?DDFDocuments/v/G/TBTN24/NPL10.DOCX")</f>
      </c>
    </row>
    <row r="761">
      <c r="A761" s="6" t="s">
        <v>70</v>
      </c>
      <c r="B761" s="7">
        <v>45509</v>
      </c>
      <c r="C761" s="6">
        <f>HYPERLINK("https://eping.wto.org/en/Search?viewData= G/SPS/N/UKR/226"," G/SPS/N/UKR/226")</f>
      </c>
      <c r="D761" s="8" t="s">
        <v>2706</v>
      </c>
      <c r="E761" s="8" t="s">
        <v>2707</v>
      </c>
      <c r="F761" s="8" t="s">
        <v>2708</v>
      </c>
      <c r="G761" s="6" t="s">
        <v>40</v>
      </c>
      <c r="H761" s="6" t="s">
        <v>40</v>
      </c>
      <c r="I761" s="6" t="s">
        <v>2709</v>
      </c>
      <c r="J761" s="6" t="s">
        <v>2710</v>
      </c>
      <c r="K761" s="6" t="s">
        <v>40</v>
      </c>
      <c r="L761" s="7">
        <v>45569</v>
      </c>
      <c r="M761" s="6" t="s">
        <v>25</v>
      </c>
      <c r="N761" s="8" t="s">
        <v>2711</v>
      </c>
      <c r="O761" s="6">
        <f>HYPERLINK("https://docs.wto.org/imrd/directdoc.asp?DDFDocuments/t/G/SPS/NUKR226.DOCX", "https://docs.wto.org/imrd/directdoc.asp?DDFDocuments/t/G/SPS/NUKR226.DOCX")</f>
      </c>
      <c r="P761" s="6">
        <f>HYPERLINK("https://docs.wto.org/imrd/directdoc.asp?DDFDocuments/u/G/SPS/NUKR226.DOCX", "https://docs.wto.org/imrd/directdoc.asp?DDFDocuments/u/G/SPS/NUKR226.DOCX")</f>
      </c>
      <c r="Q761" s="6">
        <f>HYPERLINK("https://docs.wto.org/imrd/directdoc.asp?DDFDocuments/v/G/SPS/NUKR226.DOCX", "https://docs.wto.org/imrd/directdoc.asp?DDFDocuments/v/G/SPS/NUKR226.DOCX")</f>
      </c>
    </row>
    <row r="762">
      <c r="A762" s="6" t="s">
        <v>584</v>
      </c>
      <c r="B762" s="7">
        <v>45509</v>
      </c>
      <c r="C762" s="6">
        <f>HYPERLINK("https://eping.wto.org/en/Search?viewData= G/TBT/N/GBR/86/Add.1"," G/TBT/N/GBR/86/Add.1")</f>
      </c>
      <c r="D762" s="8" t="s">
        <v>2712</v>
      </c>
      <c r="E762" s="8" t="s">
        <v>2713</v>
      </c>
      <c r="F762" s="8" t="s">
        <v>2714</v>
      </c>
      <c r="G762" s="6" t="s">
        <v>40</v>
      </c>
      <c r="H762" s="6" t="s">
        <v>1055</v>
      </c>
      <c r="I762" s="6" t="s">
        <v>191</v>
      </c>
      <c r="J762" s="6" t="s">
        <v>154</v>
      </c>
      <c r="K762" s="6"/>
      <c r="L762" s="7" t="s">
        <v>40</v>
      </c>
      <c r="M762" s="6" t="s">
        <v>76</v>
      </c>
      <c r="N762" s="8" t="s">
        <v>2715</v>
      </c>
      <c r="O762" s="6">
        <f>HYPERLINK("https://docs.wto.org/imrd/directdoc.asp?DDFDocuments/t/G/TBTN24/GBR86A1.DOCX", "https://docs.wto.org/imrd/directdoc.asp?DDFDocuments/t/G/TBTN24/GBR86A1.DOCX")</f>
      </c>
      <c r="P762" s="6">
        <f>HYPERLINK("https://docs.wto.org/imrd/directdoc.asp?DDFDocuments/u/G/TBTN24/GBR86A1.DOCX", "https://docs.wto.org/imrd/directdoc.asp?DDFDocuments/u/G/TBTN24/GBR86A1.DOCX")</f>
      </c>
      <c r="Q762" s="6">
        <f>HYPERLINK("https://docs.wto.org/imrd/directdoc.asp?DDFDocuments/v/G/TBTN24/GBR86A1.DOCX", "https://docs.wto.org/imrd/directdoc.asp?DDFDocuments/v/G/TBTN24/GBR86A1.DOCX")</f>
      </c>
    </row>
    <row r="763">
      <c r="A763" s="6" t="s">
        <v>160</v>
      </c>
      <c r="B763" s="7">
        <v>45509</v>
      </c>
      <c r="C763" s="6">
        <f>HYPERLINK("https://eping.wto.org/en/Search?viewData= G/TBT/N/USA/2046/Rev.1/Add.2"," G/TBT/N/USA/2046/Rev.1/Add.2")</f>
      </c>
      <c r="D763" s="8" t="s">
        <v>1669</v>
      </c>
      <c r="E763" s="8" t="s">
        <v>2716</v>
      </c>
      <c r="F763" s="8" t="s">
        <v>1671</v>
      </c>
      <c r="G763" s="6" t="s">
        <v>40</v>
      </c>
      <c r="H763" s="6" t="s">
        <v>1672</v>
      </c>
      <c r="I763" s="6" t="s">
        <v>165</v>
      </c>
      <c r="J763" s="6" t="s">
        <v>40</v>
      </c>
      <c r="K763" s="6"/>
      <c r="L763" s="7">
        <v>45534</v>
      </c>
      <c r="M763" s="6" t="s">
        <v>76</v>
      </c>
      <c r="N763" s="8" t="s">
        <v>2717</v>
      </c>
      <c r="O763" s="6">
        <f>HYPERLINK("https://docs.wto.org/imrd/directdoc.asp?DDFDocuments/t/G/TBTN23/USA2046R1A2.DOCX", "https://docs.wto.org/imrd/directdoc.asp?DDFDocuments/t/G/TBTN23/USA2046R1A2.DOCX")</f>
      </c>
      <c r="P763" s="6">
        <f>HYPERLINK("https://docs.wto.org/imrd/directdoc.asp?DDFDocuments/u/G/TBTN23/USA2046R1A2.DOCX", "https://docs.wto.org/imrd/directdoc.asp?DDFDocuments/u/G/TBTN23/USA2046R1A2.DOCX")</f>
      </c>
      <c r="Q763" s="6">
        <f>HYPERLINK("https://docs.wto.org/imrd/directdoc.asp?DDFDocuments/v/G/TBTN23/USA2046R1A2.DOCX", "https://docs.wto.org/imrd/directdoc.asp?DDFDocuments/v/G/TBTN23/USA2046R1A2.DOCX")</f>
      </c>
    </row>
    <row r="764">
      <c r="A764" s="6" t="s">
        <v>442</v>
      </c>
      <c r="B764" s="7">
        <v>45509</v>
      </c>
      <c r="C764" s="6">
        <f>HYPERLINK("https://eping.wto.org/en/Search?viewData= G/TBT/N/MEX/535"," G/TBT/N/MEX/535")</f>
      </c>
      <c r="D764" s="8" t="s">
        <v>2718</v>
      </c>
      <c r="E764" s="8" t="s">
        <v>2719</v>
      </c>
      <c r="F764" s="8" t="s">
        <v>2720</v>
      </c>
      <c r="G764" s="6" t="s">
        <v>40</v>
      </c>
      <c r="H764" s="6" t="s">
        <v>40</v>
      </c>
      <c r="I764" s="6" t="s">
        <v>147</v>
      </c>
      <c r="J764" s="6" t="s">
        <v>95</v>
      </c>
      <c r="K764" s="6"/>
      <c r="L764" s="7">
        <v>45569</v>
      </c>
      <c r="M764" s="6" t="s">
        <v>25</v>
      </c>
      <c r="N764" s="8" t="s">
        <v>2721</v>
      </c>
      <c r="O764" s="6">
        <f>HYPERLINK("https://docs.wto.org/imrd/directdoc.asp?DDFDocuments/t/G/TBTN24/MEX535.DOCX", "https://docs.wto.org/imrd/directdoc.asp?DDFDocuments/t/G/TBTN24/MEX535.DOCX")</f>
      </c>
      <c r="P764" s="6">
        <f>HYPERLINK("https://docs.wto.org/imrd/directdoc.asp?DDFDocuments/u/G/TBTN24/MEX535.DOCX", "https://docs.wto.org/imrd/directdoc.asp?DDFDocuments/u/G/TBTN24/MEX535.DOCX")</f>
      </c>
      <c r="Q764" s="6">
        <f>HYPERLINK("https://docs.wto.org/imrd/directdoc.asp?DDFDocuments/v/G/TBTN24/MEX535.DOCX", "https://docs.wto.org/imrd/directdoc.asp?DDFDocuments/v/G/TBTN24/MEX535.DOCX")</f>
      </c>
    </row>
    <row r="765">
      <c r="A765" s="6" t="s">
        <v>99</v>
      </c>
      <c r="B765" s="7">
        <v>45506</v>
      </c>
      <c r="C765" s="6">
        <f>HYPERLINK("https://eping.wto.org/en/Search?viewData= G/SPS/N/AUS/593"," G/SPS/N/AUS/593")</f>
      </c>
      <c r="D765" s="8" t="s">
        <v>2722</v>
      </c>
      <c r="E765" s="8" t="s">
        <v>2723</v>
      </c>
      <c r="F765" s="8" t="s">
        <v>2724</v>
      </c>
      <c r="G765" s="6" t="s">
        <v>40</v>
      </c>
      <c r="H765" s="6" t="s">
        <v>40</v>
      </c>
      <c r="I765" s="6" t="s">
        <v>791</v>
      </c>
      <c r="J765" s="6" t="s">
        <v>792</v>
      </c>
      <c r="K765" s="6" t="s">
        <v>40</v>
      </c>
      <c r="L765" s="7">
        <v>45566</v>
      </c>
      <c r="M765" s="6" t="s">
        <v>25</v>
      </c>
      <c r="N765" s="8" t="s">
        <v>2725</v>
      </c>
      <c r="O765" s="6">
        <f>HYPERLINK("https://docs.wto.org/imrd/directdoc.asp?DDFDocuments/t/G/SPS/NAUS593.DOCX", "https://docs.wto.org/imrd/directdoc.asp?DDFDocuments/t/G/SPS/NAUS593.DOCX")</f>
      </c>
      <c r="P765" s="6">
        <f>HYPERLINK("https://docs.wto.org/imrd/directdoc.asp?DDFDocuments/u/G/SPS/NAUS593.DOCX", "https://docs.wto.org/imrd/directdoc.asp?DDFDocuments/u/G/SPS/NAUS593.DOCX")</f>
      </c>
      <c r="Q765" s="6">
        <f>HYPERLINK("https://docs.wto.org/imrd/directdoc.asp?DDFDocuments/v/G/SPS/NAUS593.DOCX", "https://docs.wto.org/imrd/directdoc.asp?DDFDocuments/v/G/SPS/NAUS593.DOCX")</f>
      </c>
    </row>
    <row r="766">
      <c r="A766" s="6" t="s">
        <v>1688</v>
      </c>
      <c r="B766" s="7">
        <v>45506</v>
      </c>
      <c r="C766" s="6">
        <f>HYPERLINK("https://eping.wto.org/en/Search?viewData= G/SPS/N/THA/745"," G/SPS/N/THA/745")</f>
      </c>
      <c r="D766" s="8" t="s">
        <v>2726</v>
      </c>
      <c r="E766" s="8" t="s">
        <v>2727</v>
      </c>
      <c r="F766" s="8" t="s">
        <v>2728</v>
      </c>
      <c r="G766" s="6" t="s">
        <v>2729</v>
      </c>
      <c r="H766" s="6" t="s">
        <v>40</v>
      </c>
      <c r="I766" s="6" t="s">
        <v>353</v>
      </c>
      <c r="J766" s="6" t="s">
        <v>2730</v>
      </c>
      <c r="K766" s="6" t="s">
        <v>1775</v>
      </c>
      <c r="L766" s="7" t="s">
        <v>40</v>
      </c>
      <c r="M766" s="6" t="s">
        <v>356</v>
      </c>
      <c r="N766" s="8" t="s">
        <v>2731</v>
      </c>
      <c r="O766" s="6">
        <f>HYPERLINK("https://docs.wto.org/imrd/directdoc.asp?DDFDocuments/t/G/SPS/NTHA745.DOCX", "https://docs.wto.org/imrd/directdoc.asp?DDFDocuments/t/G/SPS/NTHA745.DOCX")</f>
      </c>
      <c r="P766" s="6">
        <f>HYPERLINK("https://docs.wto.org/imrd/directdoc.asp?DDFDocuments/u/G/SPS/NTHA745.DOCX", "https://docs.wto.org/imrd/directdoc.asp?DDFDocuments/u/G/SPS/NTHA745.DOCX")</f>
      </c>
      <c r="Q766" s="6">
        <f>HYPERLINK("https://docs.wto.org/imrd/directdoc.asp?DDFDocuments/v/G/SPS/NTHA745.DOCX", "https://docs.wto.org/imrd/directdoc.asp?DDFDocuments/v/G/SPS/NTHA745.DOCX")</f>
      </c>
    </row>
    <row r="767">
      <c r="A767" s="6" t="s">
        <v>880</v>
      </c>
      <c r="B767" s="7">
        <v>45506</v>
      </c>
      <c r="C767" s="6">
        <f>HYPERLINK("https://eping.wto.org/en/Search?viewData= G/TBT/N/TZA/1153"," G/TBT/N/TZA/1153")</f>
      </c>
      <c r="D767" s="8" t="s">
        <v>2732</v>
      </c>
      <c r="E767" s="8" t="s">
        <v>2733</v>
      </c>
      <c r="F767" s="8" t="s">
        <v>2734</v>
      </c>
      <c r="G767" s="6" t="s">
        <v>2735</v>
      </c>
      <c r="H767" s="6" t="s">
        <v>2736</v>
      </c>
      <c r="I767" s="6" t="s">
        <v>886</v>
      </c>
      <c r="J767" s="6" t="s">
        <v>40</v>
      </c>
      <c r="K767" s="6"/>
      <c r="L767" s="7">
        <v>45566</v>
      </c>
      <c r="M767" s="6" t="s">
        <v>25</v>
      </c>
      <c r="N767" s="8" t="s">
        <v>2737</v>
      </c>
      <c r="O767" s="6">
        <f>HYPERLINK("https://docs.wto.org/imrd/directdoc.asp?DDFDocuments/t/G/TBTN24/TZA1153.DOCX", "https://docs.wto.org/imrd/directdoc.asp?DDFDocuments/t/G/TBTN24/TZA1153.DOCX")</f>
      </c>
      <c r="P767" s="6">
        <f>HYPERLINK("https://docs.wto.org/imrd/directdoc.asp?DDFDocuments/u/G/TBTN24/TZA1153.DOCX", "https://docs.wto.org/imrd/directdoc.asp?DDFDocuments/u/G/TBTN24/TZA1153.DOCX")</f>
      </c>
      <c r="Q767" s="6">
        <f>HYPERLINK("https://docs.wto.org/imrd/directdoc.asp?DDFDocuments/v/G/TBTN24/TZA1153.DOCX", "https://docs.wto.org/imrd/directdoc.asp?DDFDocuments/v/G/TBTN24/TZA1153.DOCX")</f>
      </c>
    </row>
    <row r="768">
      <c r="A768" s="6" t="s">
        <v>880</v>
      </c>
      <c r="B768" s="7">
        <v>45506</v>
      </c>
      <c r="C768" s="6">
        <f>HYPERLINK("https://eping.wto.org/en/Search?viewData= G/TBT/N/TZA/1152"," G/TBT/N/TZA/1152")</f>
      </c>
      <c r="D768" s="8" t="s">
        <v>2738</v>
      </c>
      <c r="E768" s="8" t="s">
        <v>2739</v>
      </c>
      <c r="F768" s="8" t="s">
        <v>2734</v>
      </c>
      <c r="G768" s="6" t="s">
        <v>2735</v>
      </c>
      <c r="H768" s="6" t="s">
        <v>2736</v>
      </c>
      <c r="I768" s="6" t="s">
        <v>886</v>
      </c>
      <c r="J768" s="6" t="s">
        <v>24</v>
      </c>
      <c r="K768" s="6"/>
      <c r="L768" s="7">
        <v>45566</v>
      </c>
      <c r="M768" s="6" t="s">
        <v>25</v>
      </c>
      <c r="N768" s="8" t="s">
        <v>2740</v>
      </c>
      <c r="O768" s="6">
        <f>HYPERLINK("https://docs.wto.org/imrd/directdoc.asp?DDFDocuments/t/G/TBTN24/TZA1152.DOCX", "https://docs.wto.org/imrd/directdoc.asp?DDFDocuments/t/G/TBTN24/TZA1152.DOCX")</f>
      </c>
      <c r="P768" s="6">
        <f>HYPERLINK("https://docs.wto.org/imrd/directdoc.asp?DDFDocuments/u/G/TBTN24/TZA1152.DOCX", "https://docs.wto.org/imrd/directdoc.asp?DDFDocuments/u/G/TBTN24/TZA1152.DOCX")</f>
      </c>
      <c r="Q768" s="6">
        <f>HYPERLINK("https://docs.wto.org/imrd/directdoc.asp?DDFDocuments/v/G/TBTN24/TZA1152.DOCX", "https://docs.wto.org/imrd/directdoc.asp?DDFDocuments/v/G/TBTN24/TZA1152.DOCX")</f>
      </c>
    </row>
    <row r="769">
      <c r="A769" s="6" t="s">
        <v>1688</v>
      </c>
      <c r="B769" s="7">
        <v>45506</v>
      </c>
      <c r="C769" s="6">
        <f>HYPERLINK("https://eping.wto.org/en/Search?viewData= G/SPS/N/THA/747"," G/SPS/N/THA/747")</f>
      </c>
      <c r="D769" s="8" t="s">
        <v>2741</v>
      </c>
      <c r="E769" s="8" t="s">
        <v>2742</v>
      </c>
      <c r="F769" s="8" t="s">
        <v>2728</v>
      </c>
      <c r="G769" s="6" t="s">
        <v>2729</v>
      </c>
      <c r="H769" s="6" t="s">
        <v>40</v>
      </c>
      <c r="I769" s="6" t="s">
        <v>353</v>
      </c>
      <c r="J769" s="6" t="s">
        <v>2743</v>
      </c>
      <c r="K769" s="6" t="s">
        <v>866</v>
      </c>
      <c r="L769" s="7" t="s">
        <v>40</v>
      </c>
      <c r="M769" s="6" t="s">
        <v>356</v>
      </c>
      <c r="N769" s="8" t="s">
        <v>2744</v>
      </c>
      <c r="O769" s="6">
        <f>HYPERLINK("https://docs.wto.org/imrd/directdoc.asp?DDFDocuments/t/G/SPS/NTHA747.DOCX", "https://docs.wto.org/imrd/directdoc.asp?DDFDocuments/t/G/SPS/NTHA747.DOCX")</f>
      </c>
      <c r="P769" s="6">
        <f>HYPERLINK("https://docs.wto.org/imrd/directdoc.asp?DDFDocuments/u/G/SPS/NTHA747.DOCX", "https://docs.wto.org/imrd/directdoc.asp?DDFDocuments/u/G/SPS/NTHA747.DOCX")</f>
      </c>
      <c r="Q769" s="6">
        <f>HYPERLINK("https://docs.wto.org/imrd/directdoc.asp?DDFDocuments/v/G/SPS/NTHA747.DOCX", "https://docs.wto.org/imrd/directdoc.asp?DDFDocuments/v/G/SPS/NTHA747.DOCX")</f>
      </c>
    </row>
    <row r="770">
      <c r="A770" s="6" t="s">
        <v>880</v>
      </c>
      <c r="B770" s="7">
        <v>45506</v>
      </c>
      <c r="C770" s="6">
        <f>HYPERLINK("https://eping.wto.org/en/Search?viewData= G/TBT/N/TZA/1149"," G/TBT/N/TZA/1149")</f>
      </c>
      <c r="D770" s="8" t="s">
        <v>2745</v>
      </c>
      <c r="E770" s="8" t="s">
        <v>2746</v>
      </c>
      <c r="F770" s="8" t="s">
        <v>2734</v>
      </c>
      <c r="G770" s="6" t="s">
        <v>2735</v>
      </c>
      <c r="H770" s="6" t="s">
        <v>2736</v>
      </c>
      <c r="I770" s="6" t="s">
        <v>2747</v>
      </c>
      <c r="J770" s="6" t="s">
        <v>40</v>
      </c>
      <c r="K770" s="6"/>
      <c r="L770" s="7">
        <v>45566</v>
      </c>
      <c r="M770" s="6" t="s">
        <v>25</v>
      </c>
      <c r="N770" s="8" t="s">
        <v>2748</v>
      </c>
      <c r="O770" s="6">
        <f>HYPERLINK("https://docs.wto.org/imrd/directdoc.asp?DDFDocuments/t/G/TBTN24/TZA1149.DOCX", "https://docs.wto.org/imrd/directdoc.asp?DDFDocuments/t/G/TBTN24/TZA1149.DOCX")</f>
      </c>
      <c r="P770" s="6">
        <f>HYPERLINK("https://docs.wto.org/imrd/directdoc.asp?DDFDocuments/u/G/TBTN24/TZA1149.DOCX", "https://docs.wto.org/imrd/directdoc.asp?DDFDocuments/u/G/TBTN24/TZA1149.DOCX")</f>
      </c>
      <c r="Q770" s="6">
        <f>HYPERLINK("https://docs.wto.org/imrd/directdoc.asp?DDFDocuments/v/G/TBTN24/TZA1149.DOCX", "https://docs.wto.org/imrd/directdoc.asp?DDFDocuments/v/G/TBTN24/TZA1149.DOCX")</f>
      </c>
    </row>
    <row r="771">
      <c r="A771" s="6" t="s">
        <v>880</v>
      </c>
      <c r="B771" s="7">
        <v>45506</v>
      </c>
      <c r="C771" s="6">
        <f>HYPERLINK("https://eping.wto.org/en/Search?viewData= G/TBT/N/TZA/1150"," G/TBT/N/TZA/1150")</f>
      </c>
      <c r="D771" s="8" t="s">
        <v>2749</v>
      </c>
      <c r="E771" s="8" t="s">
        <v>2750</v>
      </c>
      <c r="F771" s="8" t="s">
        <v>2734</v>
      </c>
      <c r="G771" s="6" t="s">
        <v>2735</v>
      </c>
      <c r="H771" s="6" t="s">
        <v>2736</v>
      </c>
      <c r="I771" s="6" t="s">
        <v>2751</v>
      </c>
      <c r="J771" s="6" t="s">
        <v>40</v>
      </c>
      <c r="K771" s="6"/>
      <c r="L771" s="7">
        <v>45566</v>
      </c>
      <c r="M771" s="6" t="s">
        <v>25</v>
      </c>
      <c r="N771" s="8" t="s">
        <v>2752</v>
      </c>
      <c r="O771" s="6">
        <f>HYPERLINK("https://docs.wto.org/imrd/directdoc.asp?DDFDocuments/t/G/TBTN24/TZA1150.DOCX", "https://docs.wto.org/imrd/directdoc.asp?DDFDocuments/t/G/TBTN24/TZA1150.DOCX")</f>
      </c>
      <c r="P771" s="6">
        <f>HYPERLINK("https://docs.wto.org/imrd/directdoc.asp?DDFDocuments/u/G/TBTN24/TZA1150.DOCX", "https://docs.wto.org/imrd/directdoc.asp?DDFDocuments/u/G/TBTN24/TZA1150.DOCX")</f>
      </c>
      <c r="Q771" s="6">
        <f>HYPERLINK("https://docs.wto.org/imrd/directdoc.asp?DDFDocuments/v/G/TBTN24/TZA1150.DOCX", "https://docs.wto.org/imrd/directdoc.asp?DDFDocuments/v/G/TBTN24/TZA1150.DOCX")</f>
      </c>
    </row>
    <row r="772">
      <c r="A772" s="6" t="s">
        <v>1280</v>
      </c>
      <c r="B772" s="7">
        <v>45506</v>
      </c>
      <c r="C772" s="6">
        <f>HYPERLINK("https://eping.wto.org/en/Search?viewData= G/SPS/N/ALB/210"," G/SPS/N/ALB/210")</f>
      </c>
      <c r="D772" s="8" t="s">
        <v>2753</v>
      </c>
      <c r="E772" s="8" t="s">
        <v>2754</v>
      </c>
      <c r="F772" s="8" t="s">
        <v>2755</v>
      </c>
      <c r="G772" s="6" t="s">
        <v>2756</v>
      </c>
      <c r="H772" s="6" t="s">
        <v>40</v>
      </c>
      <c r="I772" s="6" t="s">
        <v>2426</v>
      </c>
      <c r="J772" s="6" t="s">
        <v>2757</v>
      </c>
      <c r="K772" s="6" t="s">
        <v>40</v>
      </c>
      <c r="L772" s="7">
        <v>45566</v>
      </c>
      <c r="M772" s="6" t="s">
        <v>25</v>
      </c>
      <c r="N772" s="8" t="s">
        <v>2758</v>
      </c>
      <c r="O772" s="6">
        <f>HYPERLINK("https://docs.wto.org/imrd/directdoc.asp?DDFDocuments/t/G/SPS/NALB210.DOCX", "https://docs.wto.org/imrd/directdoc.asp?DDFDocuments/t/G/SPS/NALB210.DOCX")</f>
      </c>
      <c r="P772" s="6">
        <f>HYPERLINK("https://docs.wto.org/imrd/directdoc.asp?DDFDocuments/u/G/SPS/NALB210.DOCX", "https://docs.wto.org/imrd/directdoc.asp?DDFDocuments/u/G/SPS/NALB210.DOCX")</f>
      </c>
      <c r="Q772" s="6">
        <f>HYPERLINK("https://docs.wto.org/imrd/directdoc.asp?DDFDocuments/v/G/SPS/NALB210.DOCX", "https://docs.wto.org/imrd/directdoc.asp?DDFDocuments/v/G/SPS/NALB210.DOCX")</f>
      </c>
    </row>
    <row r="773">
      <c r="A773" s="6" t="s">
        <v>880</v>
      </c>
      <c r="B773" s="7">
        <v>45506</v>
      </c>
      <c r="C773" s="6">
        <f>HYPERLINK("https://eping.wto.org/en/Search?viewData= G/TBT/N/TZA/1151"," G/TBT/N/TZA/1151")</f>
      </c>
      <c r="D773" s="8" t="s">
        <v>2759</v>
      </c>
      <c r="E773" s="8" t="s">
        <v>2760</v>
      </c>
      <c r="F773" s="8" t="s">
        <v>2734</v>
      </c>
      <c r="G773" s="6" t="s">
        <v>2735</v>
      </c>
      <c r="H773" s="6" t="s">
        <v>2736</v>
      </c>
      <c r="I773" s="6" t="s">
        <v>886</v>
      </c>
      <c r="J773" s="6" t="s">
        <v>40</v>
      </c>
      <c r="K773" s="6"/>
      <c r="L773" s="7">
        <v>45566</v>
      </c>
      <c r="M773" s="6" t="s">
        <v>25</v>
      </c>
      <c r="N773" s="8" t="s">
        <v>2761</v>
      </c>
      <c r="O773" s="6">
        <f>HYPERLINK("https://docs.wto.org/imrd/directdoc.asp?DDFDocuments/t/G/TBTN24/TZA1151.DOCX", "https://docs.wto.org/imrd/directdoc.asp?DDFDocuments/t/G/TBTN24/TZA1151.DOCX")</f>
      </c>
      <c r="P773" s="6">
        <f>HYPERLINK("https://docs.wto.org/imrd/directdoc.asp?DDFDocuments/u/G/TBTN24/TZA1151.DOCX", "https://docs.wto.org/imrd/directdoc.asp?DDFDocuments/u/G/TBTN24/TZA1151.DOCX")</f>
      </c>
      <c r="Q773" s="6">
        <f>HYPERLINK("https://docs.wto.org/imrd/directdoc.asp?DDFDocuments/v/G/TBTN24/TZA1151.DOCX", "https://docs.wto.org/imrd/directdoc.asp?DDFDocuments/v/G/TBTN24/TZA1151.DOCX")</f>
      </c>
    </row>
    <row r="774">
      <c r="A774" s="6" t="s">
        <v>1688</v>
      </c>
      <c r="B774" s="7">
        <v>45506</v>
      </c>
      <c r="C774" s="6">
        <f>HYPERLINK("https://eping.wto.org/en/Search?viewData= G/SPS/N/THA/752"," G/SPS/N/THA/752")</f>
      </c>
      <c r="D774" s="8" t="s">
        <v>2762</v>
      </c>
      <c r="E774" s="8" t="s">
        <v>2763</v>
      </c>
      <c r="F774" s="8" t="s">
        <v>2764</v>
      </c>
      <c r="G774" s="6" t="s">
        <v>834</v>
      </c>
      <c r="H774" s="6" t="s">
        <v>40</v>
      </c>
      <c r="I774" s="6" t="s">
        <v>353</v>
      </c>
      <c r="J774" s="6" t="s">
        <v>2765</v>
      </c>
      <c r="K774" s="6" t="s">
        <v>129</v>
      </c>
      <c r="L774" s="7" t="s">
        <v>40</v>
      </c>
      <c r="M774" s="6" t="s">
        <v>356</v>
      </c>
      <c r="N774" s="8" t="s">
        <v>2766</v>
      </c>
      <c r="O774" s="6">
        <f>HYPERLINK("https://docs.wto.org/imrd/directdoc.asp?DDFDocuments/t/G/SPS/NTHA752.DOCX", "https://docs.wto.org/imrd/directdoc.asp?DDFDocuments/t/G/SPS/NTHA752.DOCX")</f>
      </c>
      <c r="P774" s="6">
        <f>HYPERLINK("https://docs.wto.org/imrd/directdoc.asp?DDFDocuments/u/G/SPS/NTHA752.DOCX", "https://docs.wto.org/imrd/directdoc.asp?DDFDocuments/u/G/SPS/NTHA752.DOCX")</f>
      </c>
      <c r="Q774" s="6">
        <f>HYPERLINK("https://docs.wto.org/imrd/directdoc.asp?DDFDocuments/v/G/SPS/NTHA752.DOCX", "https://docs.wto.org/imrd/directdoc.asp?DDFDocuments/v/G/SPS/NTHA752.DOCX")</f>
      </c>
    </row>
    <row r="775">
      <c r="A775" s="6" t="s">
        <v>1688</v>
      </c>
      <c r="B775" s="7">
        <v>45506</v>
      </c>
      <c r="C775" s="6">
        <f>HYPERLINK("https://eping.wto.org/en/Search?viewData= G/SPS/N/THA/584/Add.1"," G/SPS/N/THA/584/Add.1")</f>
      </c>
      <c r="D775" s="8" t="s">
        <v>2767</v>
      </c>
      <c r="E775" s="8" t="s">
        <v>2768</v>
      </c>
      <c r="F775" s="8" t="s">
        <v>2769</v>
      </c>
      <c r="G775" s="6" t="s">
        <v>40</v>
      </c>
      <c r="H775" s="6" t="s">
        <v>40</v>
      </c>
      <c r="I775" s="6" t="s">
        <v>38</v>
      </c>
      <c r="J775" s="6" t="s">
        <v>2770</v>
      </c>
      <c r="K775" s="6"/>
      <c r="L775" s="7" t="s">
        <v>40</v>
      </c>
      <c r="M775" s="6" t="s">
        <v>76</v>
      </c>
      <c r="N775" s="8" t="s">
        <v>2771</v>
      </c>
      <c r="O775" s="6">
        <f>HYPERLINK("https://docs.wto.org/imrd/directdoc.asp?DDFDocuments/t/G/SPS/NTHA584A1.DOCX", "https://docs.wto.org/imrd/directdoc.asp?DDFDocuments/t/G/SPS/NTHA584A1.DOCX")</f>
      </c>
      <c r="P775" s="6">
        <f>HYPERLINK("https://docs.wto.org/imrd/directdoc.asp?DDFDocuments/u/G/SPS/NTHA584A1.DOCX", "https://docs.wto.org/imrd/directdoc.asp?DDFDocuments/u/G/SPS/NTHA584A1.DOCX")</f>
      </c>
      <c r="Q775" s="6">
        <f>HYPERLINK("https://docs.wto.org/imrd/directdoc.asp?DDFDocuments/v/G/SPS/NTHA584A1.DOCX", "https://docs.wto.org/imrd/directdoc.asp?DDFDocuments/v/G/SPS/NTHA584A1.DOCX")</f>
      </c>
    </row>
    <row r="776">
      <c r="A776" s="6" t="s">
        <v>1688</v>
      </c>
      <c r="B776" s="7">
        <v>45506</v>
      </c>
      <c r="C776" s="6">
        <f>HYPERLINK("https://eping.wto.org/en/Search?viewData= G/SPS/N/THA/748"," G/SPS/N/THA/748")</f>
      </c>
      <c r="D776" s="8" t="s">
        <v>2772</v>
      </c>
      <c r="E776" s="8" t="s">
        <v>2773</v>
      </c>
      <c r="F776" s="8" t="s">
        <v>2728</v>
      </c>
      <c r="G776" s="6" t="s">
        <v>2729</v>
      </c>
      <c r="H776" s="6" t="s">
        <v>40</v>
      </c>
      <c r="I776" s="6" t="s">
        <v>353</v>
      </c>
      <c r="J776" s="6" t="s">
        <v>2730</v>
      </c>
      <c r="K776" s="6" t="s">
        <v>2774</v>
      </c>
      <c r="L776" s="7" t="s">
        <v>40</v>
      </c>
      <c r="M776" s="6" t="s">
        <v>356</v>
      </c>
      <c r="N776" s="8" t="s">
        <v>2775</v>
      </c>
      <c r="O776" s="6">
        <f>HYPERLINK("https://docs.wto.org/imrd/directdoc.asp?DDFDocuments/t/G/SPS/NTHA748.DOCX", "https://docs.wto.org/imrd/directdoc.asp?DDFDocuments/t/G/SPS/NTHA748.DOCX")</f>
      </c>
      <c r="P776" s="6">
        <f>HYPERLINK("https://docs.wto.org/imrd/directdoc.asp?DDFDocuments/u/G/SPS/NTHA748.DOCX", "https://docs.wto.org/imrd/directdoc.asp?DDFDocuments/u/G/SPS/NTHA748.DOCX")</f>
      </c>
      <c r="Q776" s="6">
        <f>HYPERLINK("https://docs.wto.org/imrd/directdoc.asp?DDFDocuments/v/G/SPS/NTHA748.DOCX", "https://docs.wto.org/imrd/directdoc.asp?DDFDocuments/v/G/SPS/NTHA748.DOCX")</f>
      </c>
    </row>
    <row r="777">
      <c r="A777" s="6" t="s">
        <v>1688</v>
      </c>
      <c r="B777" s="7">
        <v>45506</v>
      </c>
      <c r="C777" s="6">
        <f>HYPERLINK("https://eping.wto.org/en/Search?viewData= G/SPS/N/THA/749"," G/SPS/N/THA/749")</f>
      </c>
      <c r="D777" s="8" t="s">
        <v>2776</v>
      </c>
      <c r="E777" s="8" t="s">
        <v>2777</v>
      </c>
      <c r="F777" s="8" t="s">
        <v>2728</v>
      </c>
      <c r="G777" s="6" t="s">
        <v>2729</v>
      </c>
      <c r="H777" s="6" t="s">
        <v>40</v>
      </c>
      <c r="I777" s="6" t="s">
        <v>353</v>
      </c>
      <c r="J777" s="6" t="s">
        <v>2730</v>
      </c>
      <c r="K777" s="6" t="s">
        <v>2778</v>
      </c>
      <c r="L777" s="7" t="s">
        <v>40</v>
      </c>
      <c r="M777" s="6" t="s">
        <v>356</v>
      </c>
      <c r="N777" s="8" t="s">
        <v>2779</v>
      </c>
      <c r="O777" s="6">
        <f>HYPERLINK("https://docs.wto.org/imrd/directdoc.asp?DDFDocuments/t/G/SPS/NTHA749.DOCX", "https://docs.wto.org/imrd/directdoc.asp?DDFDocuments/t/G/SPS/NTHA749.DOCX")</f>
      </c>
      <c r="P777" s="6">
        <f>HYPERLINK("https://docs.wto.org/imrd/directdoc.asp?DDFDocuments/u/G/SPS/NTHA749.DOCX", "https://docs.wto.org/imrd/directdoc.asp?DDFDocuments/u/G/SPS/NTHA749.DOCX")</f>
      </c>
      <c r="Q777" s="6">
        <f>HYPERLINK("https://docs.wto.org/imrd/directdoc.asp?DDFDocuments/v/G/SPS/NTHA749.DOCX", "https://docs.wto.org/imrd/directdoc.asp?DDFDocuments/v/G/SPS/NTHA749.DOCX")</f>
      </c>
    </row>
    <row r="778">
      <c r="A778" s="6" t="s">
        <v>307</v>
      </c>
      <c r="B778" s="7">
        <v>45506</v>
      </c>
      <c r="C778" s="6">
        <f>HYPERLINK("https://eping.wto.org/en/Search?viewData= G/SPS/N/CAN/1445/Add.3"," G/SPS/N/CAN/1445/Add.3")</f>
      </c>
      <c r="D778" s="8" t="s">
        <v>2780</v>
      </c>
      <c r="E778" s="8" t="s">
        <v>2781</v>
      </c>
      <c r="F778" s="8" t="s">
        <v>2782</v>
      </c>
      <c r="G778" s="6" t="s">
        <v>2783</v>
      </c>
      <c r="H778" s="6" t="s">
        <v>40</v>
      </c>
      <c r="I778" s="6" t="s">
        <v>353</v>
      </c>
      <c r="J778" s="6" t="s">
        <v>2784</v>
      </c>
      <c r="K778" s="6"/>
      <c r="L778" s="7" t="s">
        <v>40</v>
      </c>
      <c r="M778" s="6" t="s">
        <v>76</v>
      </c>
      <c r="N778" s="6"/>
      <c r="O778" s="6">
        <f>HYPERLINK("https://docs.wto.org/imrd/directdoc.asp?DDFDocuments/t/G/SPS/NCAN1445A3.DOCX", "https://docs.wto.org/imrd/directdoc.asp?DDFDocuments/t/G/SPS/NCAN1445A3.DOCX")</f>
      </c>
      <c r="P778" s="6">
        <f>HYPERLINK("https://docs.wto.org/imrd/directdoc.asp?DDFDocuments/u/G/SPS/NCAN1445A3.DOCX", "https://docs.wto.org/imrd/directdoc.asp?DDFDocuments/u/G/SPS/NCAN1445A3.DOCX")</f>
      </c>
      <c r="Q778" s="6">
        <f>HYPERLINK("https://docs.wto.org/imrd/directdoc.asp?DDFDocuments/v/G/SPS/NCAN1445A3.DOCX", "https://docs.wto.org/imrd/directdoc.asp?DDFDocuments/v/G/SPS/NCAN1445A3.DOCX")</f>
      </c>
    </row>
    <row r="779">
      <c r="A779" s="6" t="s">
        <v>401</v>
      </c>
      <c r="B779" s="7">
        <v>45506</v>
      </c>
      <c r="C779" s="6">
        <f>HYPERLINK("https://eping.wto.org/en/Search?viewData= G/TBT/N/KOR/1221"," G/TBT/N/KOR/1221")</f>
      </c>
      <c r="D779" s="8" t="s">
        <v>2785</v>
      </c>
      <c r="E779" s="8" t="s">
        <v>2786</v>
      </c>
      <c r="F779" s="8" t="s">
        <v>2787</v>
      </c>
      <c r="G779" s="6" t="s">
        <v>40</v>
      </c>
      <c r="H779" s="6" t="s">
        <v>40</v>
      </c>
      <c r="I779" s="6" t="s">
        <v>147</v>
      </c>
      <c r="J779" s="6" t="s">
        <v>40</v>
      </c>
      <c r="K779" s="6"/>
      <c r="L779" s="7">
        <v>45566</v>
      </c>
      <c r="M779" s="6" t="s">
        <v>25</v>
      </c>
      <c r="N779" s="8" t="s">
        <v>2788</v>
      </c>
      <c r="O779" s="6">
        <f>HYPERLINK("https://docs.wto.org/imrd/directdoc.asp?DDFDocuments/t/G/TBTN24/KOR1221.DOCX", "https://docs.wto.org/imrd/directdoc.asp?DDFDocuments/t/G/TBTN24/KOR1221.DOCX")</f>
      </c>
      <c r="P779" s="6">
        <f>HYPERLINK("https://docs.wto.org/imrd/directdoc.asp?DDFDocuments/u/G/TBTN24/KOR1221.DOCX", "https://docs.wto.org/imrd/directdoc.asp?DDFDocuments/u/G/TBTN24/KOR1221.DOCX")</f>
      </c>
      <c r="Q779" s="6">
        <f>HYPERLINK("https://docs.wto.org/imrd/directdoc.asp?DDFDocuments/v/G/TBTN24/KOR1221.DOCX", "https://docs.wto.org/imrd/directdoc.asp?DDFDocuments/v/G/TBTN24/KOR1221.DOCX")</f>
      </c>
    </row>
    <row r="780">
      <c r="A780" s="6" t="s">
        <v>1688</v>
      </c>
      <c r="B780" s="7">
        <v>45506</v>
      </c>
      <c r="C780" s="6">
        <f>HYPERLINK("https://eping.wto.org/en/Search?viewData= G/SPS/N/THA/751"," G/SPS/N/THA/751")</f>
      </c>
      <c r="D780" s="8" t="s">
        <v>2789</v>
      </c>
      <c r="E780" s="8" t="s">
        <v>2790</v>
      </c>
      <c r="F780" s="8" t="s">
        <v>2764</v>
      </c>
      <c r="G780" s="6" t="s">
        <v>834</v>
      </c>
      <c r="H780" s="6" t="s">
        <v>40</v>
      </c>
      <c r="I780" s="6" t="s">
        <v>353</v>
      </c>
      <c r="J780" s="6" t="s">
        <v>2765</v>
      </c>
      <c r="K780" s="6" t="s">
        <v>1775</v>
      </c>
      <c r="L780" s="7" t="s">
        <v>40</v>
      </c>
      <c r="M780" s="6" t="s">
        <v>356</v>
      </c>
      <c r="N780" s="8" t="s">
        <v>2791</v>
      </c>
      <c r="O780" s="6">
        <f>HYPERLINK("https://docs.wto.org/imrd/directdoc.asp?DDFDocuments/t/G/SPS/NTHA751.DOCX", "https://docs.wto.org/imrd/directdoc.asp?DDFDocuments/t/G/SPS/NTHA751.DOCX")</f>
      </c>
      <c r="P780" s="6">
        <f>HYPERLINK("https://docs.wto.org/imrd/directdoc.asp?DDFDocuments/u/G/SPS/NTHA751.DOCX", "https://docs.wto.org/imrd/directdoc.asp?DDFDocuments/u/G/SPS/NTHA751.DOCX")</f>
      </c>
      <c r="Q780" s="6">
        <f>HYPERLINK("https://docs.wto.org/imrd/directdoc.asp?DDFDocuments/v/G/SPS/NTHA751.DOCX", "https://docs.wto.org/imrd/directdoc.asp?DDFDocuments/v/G/SPS/NTHA751.DOCX")</f>
      </c>
    </row>
    <row r="781">
      <c r="A781" s="6" t="s">
        <v>1688</v>
      </c>
      <c r="B781" s="7">
        <v>45506</v>
      </c>
      <c r="C781" s="6">
        <f>HYPERLINK("https://eping.wto.org/en/Search?viewData= G/SPS/N/THA/753"," G/SPS/N/THA/753")</f>
      </c>
      <c r="D781" s="8" t="s">
        <v>2792</v>
      </c>
      <c r="E781" s="8" t="s">
        <v>2793</v>
      </c>
      <c r="F781" s="8" t="s">
        <v>2764</v>
      </c>
      <c r="G781" s="6" t="s">
        <v>834</v>
      </c>
      <c r="H781" s="6" t="s">
        <v>40</v>
      </c>
      <c r="I781" s="6" t="s">
        <v>353</v>
      </c>
      <c r="J781" s="6" t="s">
        <v>2794</v>
      </c>
      <c r="K781" s="6" t="s">
        <v>2778</v>
      </c>
      <c r="L781" s="7" t="s">
        <v>40</v>
      </c>
      <c r="M781" s="6" t="s">
        <v>356</v>
      </c>
      <c r="N781" s="8" t="s">
        <v>2795</v>
      </c>
      <c r="O781" s="6">
        <f>HYPERLINK("https://docs.wto.org/imrd/directdoc.asp?DDFDocuments/t/G/SPS/NTHA753.DOCX", "https://docs.wto.org/imrd/directdoc.asp?DDFDocuments/t/G/SPS/NTHA753.DOCX")</f>
      </c>
      <c r="P781" s="6">
        <f>HYPERLINK("https://docs.wto.org/imrd/directdoc.asp?DDFDocuments/u/G/SPS/NTHA753.DOCX", "https://docs.wto.org/imrd/directdoc.asp?DDFDocuments/u/G/SPS/NTHA753.DOCX")</f>
      </c>
      <c r="Q781" s="6">
        <f>HYPERLINK("https://docs.wto.org/imrd/directdoc.asp?DDFDocuments/v/G/SPS/NTHA753.DOCX", "https://docs.wto.org/imrd/directdoc.asp?DDFDocuments/v/G/SPS/NTHA753.DOCX")</f>
      </c>
    </row>
    <row r="782">
      <c r="A782" s="6" t="s">
        <v>1688</v>
      </c>
      <c r="B782" s="7">
        <v>45506</v>
      </c>
      <c r="C782" s="6">
        <f>HYPERLINK("https://eping.wto.org/en/Search?viewData= G/SPS/N/THA/750"," G/SPS/N/THA/750")</f>
      </c>
      <c r="D782" s="8" t="s">
        <v>2796</v>
      </c>
      <c r="E782" s="8" t="s">
        <v>2797</v>
      </c>
      <c r="F782" s="8" t="s">
        <v>2728</v>
      </c>
      <c r="G782" s="6" t="s">
        <v>2729</v>
      </c>
      <c r="H782" s="6" t="s">
        <v>40</v>
      </c>
      <c r="I782" s="6" t="s">
        <v>353</v>
      </c>
      <c r="J782" s="6" t="s">
        <v>2730</v>
      </c>
      <c r="K782" s="6" t="s">
        <v>2798</v>
      </c>
      <c r="L782" s="7" t="s">
        <v>40</v>
      </c>
      <c r="M782" s="6" t="s">
        <v>356</v>
      </c>
      <c r="N782" s="8" t="s">
        <v>2799</v>
      </c>
      <c r="O782" s="6">
        <f>HYPERLINK("https://docs.wto.org/imrd/directdoc.asp?DDFDocuments/t/G/SPS/NTHA750.DOCX", "https://docs.wto.org/imrd/directdoc.asp?DDFDocuments/t/G/SPS/NTHA750.DOCX")</f>
      </c>
      <c r="P782" s="6">
        <f>HYPERLINK("https://docs.wto.org/imrd/directdoc.asp?DDFDocuments/u/G/SPS/NTHA750.DOCX", "https://docs.wto.org/imrd/directdoc.asp?DDFDocuments/u/G/SPS/NTHA750.DOCX")</f>
      </c>
      <c r="Q782" s="6">
        <f>HYPERLINK("https://docs.wto.org/imrd/directdoc.asp?DDFDocuments/v/G/SPS/NTHA750.DOCX", "https://docs.wto.org/imrd/directdoc.asp?DDFDocuments/v/G/SPS/NTHA750.DOCX")</f>
      </c>
    </row>
    <row r="783">
      <c r="A783" s="6" t="s">
        <v>70</v>
      </c>
      <c r="B783" s="7">
        <v>45506</v>
      </c>
      <c r="C783" s="6">
        <f>HYPERLINK("https://eping.wto.org/en/Search?viewData= G/TBT/N/UKR/304"," G/TBT/N/UKR/304")</f>
      </c>
      <c r="D783" s="8" t="s">
        <v>2800</v>
      </c>
      <c r="E783" s="8" t="s">
        <v>2801</v>
      </c>
      <c r="F783" s="8" t="s">
        <v>1299</v>
      </c>
      <c r="G783" s="6" t="s">
        <v>2802</v>
      </c>
      <c r="H783" s="6" t="s">
        <v>2803</v>
      </c>
      <c r="I783" s="6" t="s">
        <v>265</v>
      </c>
      <c r="J783" s="6" t="s">
        <v>24</v>
      </c>
      <c r="K783" s="6"/>
      <c r="L783" s="7">
        <v>45566</v>
      </c>
      <c r="M783" s="6" t="s">
        <v>25</v>
      </c>
      <c r="N783" s="8" t="s">
        <v>2804</v>
      </c>
      <c r="O783" s="6">
        <f>HYPERLINK("https://docs.wto.org/imrd/directdoc.asp?DDFDocuments/t/G/TBTN24/UKR304.DOCX", "https://docs.wto.org/imrd/directdoc.asp?DDFDocuments/t/G/TBTN24/UKR304.DOCX")</f>
      </c>
      <c r="P783" s="6">
        <f>HYPERLINK("https://docs.wto.org/imrd/directdoc.asp?DDFDocuments/u/G/TBTN24/UKR304.DOCX", "https://docs.wto.org/imrd/directdoc.asp?DDFDocuments/u/G/TBTN24/UKR304.DOCX")</f>
      </c>
      <c r="Q783" s="6">
        <f>HYPERLINK("https://docs.wto.org/imrd/directdoc.asp?DDFDocuments/v/G/TBTN24/UKR304.DOCX", "https://docs.wto.org/imrd/directdoc.asp?DDFDocuments/v/G/TBTN24/UKR304.DOCX")</f>
      </c>
    </row>
    <row r="784">
      <c r="A784" s="6" t="s">
        <v>1688</v>
      </c>
      <c r="B784" s="7">
        <v>45506</v>
      </c>
      <c r="C784" s="6">
        <f>HYPERLINK("https://eping.wto.org/en/Search?viewData= G/SPS/N/THA/754"," G/SPS/N/THA/754")</f>
      </c>
      <c r="D784" s="8" t="s">
        <v>2805</v>
      </c>
      <c r="E784" s="8" t="s">
        <v>2806</v>
      </c>
      <c r="F784" s="8" t="s">
        <v>2764</v>
      </c>
      <c r="G784" s="6" t="s">
        <v>834</v>
      </c>
      <c r="H784" s="6" t="s">
        <v>40</v>
      </c>
      <c r="I784" s="6" t="s">
        <v>353</v>
      </c>
      <c r="J784" s="6" t="s">
        <v>2794</v>
      </c>
      <c r="K784" s="6" t="s">
        <v>160</v>
      </c>
      <c r="L784" s="7" t="s">
        <v>40</v>
      </c>
      <c r="M784" s="6" t="s">
        <v>356</v>
      </c>
      <c r="N784" s="8" t="s">
        <v>2807</v>
      </c>
      <c r="O784" s="6">
        <f>HYPERLINK("https://docs.wto.org/imrd/directdoc.asp?DDFDocuments/t/G/SPS/NTHA754.DOCX", "https://docs.wto.org/imrd/directdoc.asp?DDFDocuments/t/G/SPS/NTHA754.DOCX")</f>
      </c>
      <c r="P784" s="6">
        <f>HYPERLINK("https://docs.wto.org/imrd/directdoc.asp?DDFDocuments/u/G/SPS/NTHA754.DOCX", "https://docs.wto.org/imrd/directdoc.asp?DDFDocuments/u/G/SPS/NTHA754.DOCX")</f>
      </c>
      <c r="Q784" s="6">
        <f>HYPERLINK("https://docs.wto.org/imrd/directdoc.asp?DDFDocuments/v/G/SPS/NTHA754.DOCX", "https://docs.wto.org/imrd/directdoc.asp?DDFDocuments/v/G/SPS/NTHA754.DOCX")</f>
      </c>
    </row>
    <row r="785">
      <c r="A785" s="6" t="s">
        <v>1688</v>
      </c>
      <c r="B785" s="7">
        <v>45506</v>
      </c>
      <c r="C785" s="6">
        <f>HYPERLINK("https://eping.wto.org/en/Search?viewData= G/SPS/N/THA/746"," G/SPS/N/THA/746")</f>
      </c>
      <c r="D785" s="8" t="s">
        <v>2808</v>
      </c>
      <c r="E785" s="8" t="s">
        <v>2809</v>
      </c>
      <c r="F785" s="8" t="s">
        <v>2728</v>
      </c>
      <c r="G785" s="6" t="s">
        <v>2729</v>
      </c>
      <c r="H785" s="6" t="s">
        <v>40</v>
      </c>
      <c r="I785" s="6" t="s">
        <v>353</v>
      </c>
      <c r="J785" s="6" t="s">
        <v>2730</v>
      </c>
      <c r="K785" s="6" t="s">
        <v>401</v>
      </c>
      <c r="L785" s="7" t="s">
        <v>40</v>
      </c>
      <c r="M785" s="6" t="s">
        <v>356</v>
      </c>
      <c r="N785" s="8" t="s">
        <v>2810</v>
      </c>
      <c r="O785" s="6">
        <f>HYPERLINK("https://docs.wto.org/imrd/directdoc.asp?DDFDocuments/t/G/SPS/NTHA746.DOCX", "https://docs.wto.org/imrd/directdoc.asp?DDFDocuments/t/G/SPS/NTHA746.DOCX")</f>
      </c>
      <c r="P785" s="6">
        <f>HYPERLINK("https://docs.wto.org/imrd/directdoc.asp?DDFDocuments/u/G/SPS/NTHA746.DOCX", "https://docs.wto.org/imrd/directdoc.asp?DDFDocuments/u/G/SPS/NTHA746.DOCX")</f>
      </c>
      <c r="Q785" s="6">
        <f>HYPERLINK("https://docs.wto.org/imrd/directdoc.asp?DDFDocuments/v/G/SPS/NTHA746.DOCX", "https://docs.wto.org/imrd/directdoc.asp?DDFDocuments/v/G/SPS/NTHA746.DOCX")</f>
      </c>
    </row>
    <row r="786">
      <c r="A786" s="6" t="s">
        <v>880</v>
      </c>
      <c r="B786" s="7">
        <v>45505</v>
      </c>
      <c r="C786" s="6">
        <f>HYPERLINK("https://eping.wto.org/en/Search?viewData= G/SPS/N/TZA/367"," G/SPS/N/TZA/367")</f>
      </c>
      <c r="D786" s="8" t="s">
        <v>2811</v>
      </c>
      <c r="E786" s="8" t="s">
        <v>2812</v>
      </c>
      <c r="F786" s="8" t="s">
        <v>2813</v>
      </c>
      <c r="G786" s="6" t="s">
        <v>2735</v>
      </c>
      <c r="H786" s="6" t="s">
        <v>2736</v>
      </c>
      <c r="I786" s="6" t="s">
        <v>353</v>
      </c>
      <c r="J786" s="6" t="s">
        <v>915</v>
      </c>
      <c r="K786" s="6" t="s">
        <v>40</v>
      </c>
      <c r="L786" s="7">
        <v>45565</v>
      </c>
      <c r="M786" s="6" t="s">
        <v>25</v>
      </c>
      <c r="N786" s="8" t="s">
        <v>2814</v>
      </c>
      <c r="O786" s="6">
        <f>HYPERLINK("https://docs.wto.org/imrd/directdoc.asp?DDFDocuments/t/G/SPS/NTZA367.DOCX", "https://docs.wto.org/imrd/directdoc.asp?DDFDocuments/t/G/SPS/NTZA367.DOCX")</f>
      </c>
      <c r="P786" s="6">
        <f>HYPERLINK("https://docs.wto.org/imrd/directdoc.asp?DDFDocuments/u/G/SPS/NTZA367.DOCX", "https://docs.wto.org/imrd/directdoc.asp?DDFDocuments/u/G/SPS/NTZA367.DOCX")</f>
      </c>
      <c r="Q786" s="6">
        <f>HYPERLINK("https://docs.wto.org/imrd/directdoc.asp?DDFDocuments/v/G/SPS/NTZA367.DOCX", "https://docs.wto.org/imrd/directdoc.asp?DDFDocuments/v/G/SPS/NTZA367.DOCX")</f>
      </c>
    </row>
    <row r="787">
      <c r="A787" s="6" t="s">
        <v>1076</v>
      </c>
      <c r="B787" s="7">
        <v>45505</v>
      </c>
      <c r="C787" s="6">
        <f>HYPERLINK("https://eping.wto.org/en/Search?viewData= G/TBT/N/CHN/1885"," G/TBT/N/CHN/1885")</f>
      </c>
      <c r="D787" s="8" t="s">
        <v>2815</v>
      </c>
      <c r="E787" s="8" t="s">
        <v>2816</v>
      </c>
      <c r="F787" s="8" t="s">
        <v>2817</v>
      </c>
      <c r="G787" s="6" t="s">
        <v>2818</v>
      </c>
      <c r="H787" s="6" t="s">
        <v>2819</v>
      </c>
      <c r="I787" s="6" t="s">
        <v>2820</v>
      </c>
      <c r="J787" s="6" t="s">
        <v>40</v>
      </c>
      <c r="K787" s="6"/>
      <c r="L787" s="7">
        <v>45565</v>
      </c>
      <c r="M787" s="6" t="s">
        <v>25</v>
      </c>
      <c r="N787" s="8" t="s">
        <v>2821</v>
      </c>
      <c r="O787" s="6">
        <f>HYPERLINK("https://docs.wto.org/imrd/directdoc.asp?DDFDocuments/t/G/TBTN24/CHN1885.DOCX", "https://docs.wto.org/imrd/directdoc.asp?DDFDocuments/t/G/TBTN24/CHN1885.DOCX")</f>
      </c>
      <c r="P787" s="6">
        <f>HYPERLINK("https://docs.wto.org/imrd/directdoc.asp?DDFDocuments/u/G/TBTN24/CHN1885.DOCX", "https://docs.wto.org/imrd/directdoc.asp?DDFDocuments/u/G/TBTN24/CHN1885.DOCX")</f>
      </c>
      <c r="Q787" s="6">
        <f>HYPERLINK("https://docs.wto.org/imrd/directdoc.asp?DDFDocuments/v/G/TBTN24/CHN1885.DOCX", "https://docs.wto.org/imrd/directdoc.asp?DDFDocuments/v/G/TBTN24/CHN1885.DOCX")</f>
      </c>
    </row>
    <row r="788">
      <c r="A788" s="6" t="s">
        <v>198</v>
      </c>
      <c r="B788" s="7">
        <v>45505</v>
      </c>
      <c r="C788" s="6">
        <f>HYPERLINK("https://eping.wto.org/en/Search?viewData= G/SPS/N/CHL/787/Add.1"," G/SPS/N/CHL/787/Add.1")</f>
      </c>
      <c r="D788" s="8" t="s">
        <v>2822</v>
      </c>
      <c r="E788" s="8" t="s">
        <v>2822</v>
      </c>
      <c r="F788" s="8" t="s">
        <v>2823</v>
      </c>
      <c r="G788" s="6" t="s">
        <v>40</v>
      </c>
      <c r="H788" s="6" t="s">
        <v>40</v>
      </c>
      <c r="I788" s="6" t="s">
        <v>353</v>
      </c>
      <c r="J788" s="6" t="s">
        <v>2824</v>
      </c>
      <c r="K788" s="6"/>
      <c r="L788" s="7" t="s">
        <v>40</v>
      </c>
      <c r="M788" s="6" t="s">
        <v>76</v>
      </c>
      <c r="N788" s="8" t="s">
        <v>2825</v>
      </c>
      <c r="O788" s="6">
        <f>HYPERLINK("https://docs.wto.org/imrd/directdoc.asp?DDFDocuments/t/G/SPS/NCHL787A1.DOCX", "https://docs.wto.org/imrd/directdoc.asp?DDFDocuments/t/G/SPS/NCHL787A1.DOCX")</f>
      </c>
      <c r="P788" s="6">
        <f>HYPERLINK("https://docs.wto.org/imrd/directdoc.asp?DDFDocuments/u/G/SPS/NCHL787A1.DOCX", "https://docs.wto.org/imrd/directdoc.asp?DDFDocuments/u/G/SPS/NCHL787A1.DOCX")</f>
      </c>
      <c r="Q788" s="6">
        <f>HYPERLINK("https://docs.wto.org/imrd/directdoc.asp?DDFDocuments/v/G/SPS/NCHL787A1.DOCX", "https://docs.wto.org/imrd/directdoc.asp?DDFDocuments/v/G/SPS/NCHL787A1.DOCX")</f>
      </c>
    </row>
    <row r="789">
      <c r="A789" s="6" t="s">
        <v>1076</v>
      </c>
      <c r="B789" s="7">
        <v>45505</v>
      </c>
      <c r="C789" s="6">
        <f>HYPERLINK("https://eping.wto.org/en/Search?viewData= G/TBT/N/CHN/1879"," G/TBT/N/CHN/1879")</f>
      </c>
      <c r="D789" s="8" t="s">
        <v>2826</v>
      </c>
      <c r="E789" s="8" t="s">
        <v>2827</v>
      </c>
      <c r="F789" s="8" t="s">
        <v>2828</v>
      </c>
      <c r="G789" s="6" t="s">
        <v>2829</v>
      </c>
      <c r="H789" s="6" t="s">
        <v>2830</v>
      </c>
      <c r="I789" s="6" t="s">
        <v>165</v>
      </c>
      <c r="J789" s="6" t="s">
        <v>40</v>
      </c>
      <c r="K789" s="6"/>
      <c r="L789" s="7">
        <v>45565</v>
      </c>
      <c r="M789" s="6" t="s">
        <v>25</v>
      </c>
      <c r="N789" s="8" t="s">
        <v>2831</v>
      </c>
      <c r="O789" s="6">
        <f>HYPERLINK("https://docs.wto.org/imrd/directdoc.asp?DDFDocuments/t/G/TBTN24/CHN1879.DOCX", "https://docs.wto.org/imrd/directdoc.asp?DDFDocuments/t/G/TBTN24/CHN1879.DOCX")</f>
      </c>
      <c r="P789" s="6">
        <f>HYPERLINK("https://docs.wto.org/imrd/directdoc.asp?DDFDocuments/u/G/TBTN24/CHN1879.DOCX", "https://docs.wto.org/imrd/directdoc.asp?DDFDocuments/u/G/TBTN24/CHN1879.DOCX")</f>
      </c>
      <c r="Q789" s="6">
        <f>HYPERLINK("https://docs.wto.org/imrd/directdoc.asp?DDFDocuments/v/G/TBTN24/CHN1879.DOCX", "https://docs.wto.org/imrd/directdoc.asp?DDFDocuments/v/G/TBTN24/CHN1879.DOCX")</f>
      </c>
    </row>
    <row r="790">
      <c r="A790" s="6" t="s">
        <v>1076</v>
      </c>
      <c r="B790" s="7">
        <v>45505</v>
      </c>
      <c r="C790" s="6">
        <f>HYPERLINK("https://eping.wto.org/en/Search?viewData= G/TBT/N/CHN/1880"," G/TBT/N/CHN/1880")</f>
      </c>
      <c r="D790" s="8" t="s">
        <v>2832</v>
      </c>
      <c r="E790" s="8" t="s">
        <v>2833</v>
      </c>
      <c r="F790" s="8" t="s">
        <v>2828</v>
      </c>
      <c r="G790" s="6" t="s">
        <v>2829</v>
      </c>
      <c r="H790" s="6" t="s">
        <v>2830</v>
      </c>
      <c r="I790" s="6" t="s">
        <v>2834</v>
      </c>
      <c r="J790" s="6" t="s">
        <v>40</v>
      </c>
      <c r="K790" s="6"/>
      <c r="L790" s="7">
        <v>45565</v>
      </c>
      <c r="M790" s="6" t="s">
        <v>25</v>
      </c>
      <c r="N790" s="8" t="s">
        <v>2835</v>
      </c>
      <c r="O790" s="6">
        <f>HYPERLINK("https://docs.wto.org/imrd/directdoc.asp?DDFDocuments/t/G/TBTN24/CHN1880.DOCX", "https://docs.wto.org/imrd/directdoc.asp?DDFDocuments/t/G/TBTN24/CHN1880.DOCX")</f>
      </c>
      <c r="P790" s="6">
        <f>HYPERLINK("https://docs.wto.org/imrd/directdoc.asp?DDFDocuments/u/G/TBTN24/CHN1880.DOCX", "https://docs.wto.org/imrd/directdoc.asp?DDFDocuments/u/G/TBTN24/CHN1880.DOCX")</f>
      </c>
      <c r="Q790" s="6">
        <f>HYPERLINK("https://docs.wto.org/imrd/directdoc.asp?DDFDocuments/v/G/TBTN24/CHN1880.DOCX", "https://docs.wto.org/imrd/directdoc.asp?DDFDocuments/v/G/TBTN24/CHN1880.DOCX")</f>
      </c>
    </row>
    <row r="791">
      <c r="A791" s="6" t="s">
        <v>160</v>
      </c>
      <c r="B791" s="7">
        <v>45505</v>
      </c>
      <c r="C791" s="6">
        <f>HYPERLINK("https://eping.wto.org/en/Search?viewData= G/TBT/N/USA/2134"," G/TBT/N/USA/2134")</f>
      </c>
      <c r="D791" s="8" t="s">
        <v>2836</v>
      </c>
      <c r="E791" s="8" t="s">
        <v>2837</v>
      </c>
      <c r="F791" s="8" t="s">
        <v>2838</v>
      </c>
      <c r="G791" s="6" t="s">
        <v>40</v>
      </c>
      <c r="H791" s="6" t="s">
        <v>2839</v>
      </c>
      <c r="I791" s="6" t="s">
        <v>94</v>
      </c>
      <c r="J791" s="6" t="s">
        <v>40</v>
      </c>
      <c r="K791" s="6"/>
      <c r="L791" s="7">
        <v>45565</v>
      </c>
      <c r="M791" s="6" t="s">
        <v>25</v>
      </c>
      <c r="N791" s="8" t="s">
        <v>2840</v>
      </c>
      <c r="O791" s="6">
        <f>HYPERLINK("https://docs.wto.org/imrd/directdoc.asp?DDFDocuments/t/G/TBTN24/USA2134.DOCX", "https://docs.wto.org/imrd/directdoc.asp?DDFDocuments/t/G/TBTN24/USA2134.DOCX")</f>
      </c>
      <c r="P791" s="6">
        <f>HYPERLINK("https://docs.wto.org/imrd/directdoc.asp?DDFDocuments/u/G/TBTN24/USA2134.DOCX", "https://docs.wto.org/imrd/directdoc.asp?DDFDocuments/u/G/TBTN24/USA2134.DOCX")</f>
      </c>
      <c r="Q791" s="6">
        <f>HYPERLINK("https://docs.wto.org/imrd/directdoc.asp?DDFDocuments/v/G/TBTN24/USA2134.DOCX", "https://docs.wto.org/imrd/directdoc.asp?DDFDocuments/v/G/TBTN24/USA2134.DOCX")</f>
      </c>
    </row>
    <row r="792">
      <c r="A792" s="6" t="s">
        <v>180</v>
      </c>
      <c r="B792" s="7">
        <v>45505</v>
      </c>
      <c r="C792" s="6">
        <f>HYPERLINK("https://eping.wto.org/en/Search?viewData= G/SPS/N/CRI/279"," G/SPS/N/CRI/279")</f>
      </c>
      <c r="D792" s="8" t="s">
        <v>2841</v>
      </c>
      <c r="E792" s="8" t="s">
        <v>2842</v>
      </c>
      <c r="F792" s="8" t="s">
        <v>2843</v>
      </c>
      <c r="G792" s="6" t="s">
        <v>2844</v>
      </c>
      <c r="H792" s="6" t="s">
        <v>40</v>
      </c>
      <c r="I792" s="6" t="s">
        <v>184</v>
      </c>
      <c r="J792" s="6" t="s">
        <v>410</v>
      </c>
      <c r="K792" s="6" t="s">
        <v>129</v>
      </c>
      <c r="L792" s="7">
        <v>45565</v>
      </c>
      <c r="M792" s="6" t="s">
        <v>25</v>
      </c>
      <c r="N792" s="8" t="s">
        <v>2845</v>
      </c>
      <c r="O792" s="6">
        <f>HYPERLINK("https://docs.wto.org/imrd/directdoc.asp?DDFDocuments/t/G/SPS/NCRI279.DOCX", "https://docs.wto.org/imrd/directdoc.asp?DDFDocuments/t/G/SPS/NCRI279.DOCX")</f>
      </c>
      <c r="P792" s="6">
        <f>HYPERLINK("https://docs.wto.org/imrd/directdoc.asp?DDFDocuments/u/G/SPS/NCRI279.DOCX", "https://docs.wto.org/imrd/directdoc.asp?DDFDocuments/u/G/SPS/NCRI279.DOCX")</f>
      </c>
      <c r="Q792" s="6">
        <f>HYPERLINK("https://docs.wto.org/imrd/directdoc.asp?DDFDocuments/v/G/SPS/NCRI279.DOCX", "https://docs.wto.org/imrd/directdoc.asp?DDFDocuments/v/G/SPS/NCRI279.DOCX")</f>
      </c>
    </row>
    <row r="793">
      <c r="A793" s="6" t="s">
        <v>198</v>
      </c>
      <c r="B793" s="7">
        <v>45505</v>
      </c>
      <c r="C793" s="6">
        <f>HYPERLINK("https://eping.wto.org/en/Search?viewData= G/TBT/N/CHL/696"," G/TBT/N/CHL/696")</f>
      </c>
      <c r="D793" s="8" t="s">
        <v>2846</v>
      </c>
      <c r="E793" s="8" t="s">
        <v>2847</v>
      </c>
      <c r="F793" s="8" t="s">
        <v>2848</v>
      </c>
      <c r="G793" s="6" t="s">
        <v>40</v>
      </c>
      <c r="H793" s="6" t="s">
        <v>40</v>
      </c>
      <c r="I793" s="6" t="s">
        <v>147</v>
      </c>
      <c r="J793" s="6" t="s">
        <v>40</v>
      </c>
      <c r="K793" s="6"/>
      <c r="L793" s="7">
        <v>45565</v>
      </c>
      <c r="M793" s="6" t="s">
        <v>25</v>
      </c>
      <c r="N793" s="8" t="s">
        <v>2849</v>
      </c>
      <c r="O793" s="6">
        <f>HYPERLINK("https://docs.wto.org/imrd/directdoc.asp?DDFDocuments/t/G/TBTN24/CHL696.DOCX", "https://docs.wto.org/imrd/directdoc.asp?DDFDocuments/t/G/TBTN24/CHL696.DOCX")</f>
      </c>
      <c r="P793" s="6">
        <f>HYPERLINK("https://docs.wto.org/imrd/directdoc.asp?DDFDocuments/u/G/TBTN24/CHL696.DOCX", "https://docs.wto.org/imrd/directdoc.asp?DDFDocuments/u/G/TBTN24/CHL696.DOCX")</f>
      </c>
      <c r="Q793" s="6">
        <f>HYPERLINK("https://docs.wto.org/imrd/directdoc.asp?DDFDocuments/v/G/TBTN24/CHL696.DOCX", "https://docs.wto.org/imrd/directdoc.asp?DDFDocuments/v/G/TBTN24/CHL696.DOCX")</f>
      </c>
    </row>
    <row r="794">
      <c r="A794" s="6" t="s">
        <v>442</v>
      </c>
      <c r="B794" s="7">
        <v>45505</v>
      </c>
      <c r="C794" s="6">
        <f>HYPERLINK("https://eping.wto.org/en/Search?viewData= G/TBT/N/MEX/534"," G/TBT/N/MEX/534")</f>
      </c>
      <c r="D794" s="8" t="s">
        <v>2850</v>
      </c>
      <c r="E794" s="8" t="s">
        <v>2851</v>
      </c>
      <c r="F794" s="8" t="s">
        <v>2852</v>
      </c>
      <c r="G794" s="6" t="s">
        <v>40</v>
      </c>
      <c r="H794" s="6" t="s">
        <v>40</v>
      </c>
      <c r="I794" s="6" t="s">
        <v>280</v>
      </c>
      <c r="J794" s="6" t="s">
        <v>40</v>
      </c>
      <c r="K794" s="6"/>
      <c r="L794" s="7">
        <v>45565</v>
      </c>
      <c r="M794" s="6" t="s">
        <v>25</v>
      </c>
      <c r="N794" s="8" t="s">
        <v>2853</v>
      </c>
      <c r="O794" s="6">
        <f>HYPERLINK("https://docs.wto.org/imrd/directdoc.asp?DDFDocuments/t/G/TBTN24/MEX534.DOCX", "https://docs.wto.org/imrd/directdoc.asp?DDFDocuments/t/G/TBTN24/MEX534.DOCX")</f>
      </c>
      <c r="P794" s="6">
        <f>HYPERLINK("https://docs.wto.org/imrd/directdoc.asp?DDFDocuments/u/G/TBTN24/MEX534.DOCX", "https://docs.wto.org/imrd/directdoc.asp?DDFDocuments/u/G/TBTN24/MEX534.DOCX")</f>
      </c>
      <c r="Q794" s="6">
        <f>HYPERLINK("https://docs.wto.org/imrd/directdoc.asp?DDFDocuments/v/G/TBTN24/MEX534.DOCX", "https://docs.wto.org/imrd/directdoc.asp?DDFDocuments/v/G/TBTN24/MEX534.DOCX")</f>
      </c>
    </row>
    <row r="795">
      <c r="A795" s="6" t="s">
        <v>866</v>
      </c>
      <c r="B795" s="7">
        <v>45505</v>
      </c>
      <c r="C795" s="6">
        <f>HYPERLINK("https://eping.wto.org/en/Search?viewData= G/TBT/N/IDN/133/Add.1"," G/TBT/N/IDN/133/Add.1")</f>
      </c>
      <c r="D795" s="8" t="s">
        <v>2854</v>
      </c>
      <c r="E795" s="8" t="s">
        <v>2855</v>
      </c>
      <c r="F795" s="8" t="s">
        <v>2856</v>
      </c>
      <c r="G795" s="6" t="s">
        <v>40</v>
      </c>
      <c r="H795" s="6" t="s">
        <v>2857</v>
      </c>
      <c r="I795" s="6" t="s">
        <v>1815</v>
      </c>
      <c r="J795" s="6" t="s">
        <v>2858</v>
      </c>
      <c r="K795" s="6"/>
      <c r="L795" s="7" t="s">
        <v>40</v>
      </c>
      <c r="M795" s="6" t="s">
        <v>76</v>
      </c>
      <c r="N795" s="8" t="s">
        <v>2859</v>
      </c>
      <c r="O795" s="6">
        <f>HYPERLINK("https://docs.wto.org/imrd/directdoc.asp?DDFDocuments/t/G/TBTN21/IDN133A1.DOCX", "https://docs.wto.org/imrd/directdoc.asp?DDFDocuments/t/G/TBTN21/IDN133A1.DOCX")</f>
      </c>
      <c r="P795" s="6">
        <f>HYPERLINK("https://docs.wto.org/imrd/directdoc.asp?DDFDocuments/u/G/TBTN21/IDN133A1.DOCX", "https://docs.wto.org/imrd/directdoc.asp?DDFDocuments/u/G/TBTN21/IDN133A1.DOCX")</f>
      </c>
      <c r="Q795" s="6">
        <f>HYPERLINK("https://docs.wto.org/imrd/directdoc.asp?DDFDocuments/v/G/TBTN21/IDN133A1.DOCX", "https://docs.wto.org/imrd/directdoc.asp?DDFDocuments/v/G/TBTN21/IDN133A1.DOCX")</f>
      </c>
    </row>
    <row r="796">
      <c r="A796" s="6" t="s">
        <v>180</v>
      </c>
      <c r="B796" s="7">
        <v>45505</v>
      </c>
      <c r="C796" s="6">
        <f>HYPERLINK("https://eping.wto.org/en/Search?viewData= G/SPS/N/CRI/275/Add.1"," G/SPS/N/CRI/275/Add.1")</f>
      </c>
      <c r="D796" s="8" t="s">
        <v>2860</v>
      </c>
      <c r="E796" s="8" t="s">
        <v>2860</v>
      </c>
      <c r="F796" s="8" t="s">
        <v>2861</v>
      </c>
      <c r="G796" s="6" t="s">
        <v>183</v>
      </c>
      <c r="H796" s="6" t="s">
        <v>40</v>
      </c>
      <c r="I796" s="6" t="s">
        <v>184</v>
      </c>
      <c r="J796" s="6" t="s">
        <v>185</v>
      </c>
      <c r="K796" s="6"/>
      <c r="L796" s="7" t="s">
        <v>40</v>
      </c>
      <c r="M796" s="6" t="s">
        <v>76</v>
      </c>
      <c r="N796" s="8" t="s">
        <v>2862</v>
      </c>
      <c r="O796" s="6">
        <f>HYPERLINK("https://docs.wto.org/imrd/directdoc.asp?DDFDocuments/t/G/SPS/NCRI275A1.DOCX", "https://docs.wto.org/imrd/directdoc.asp?DDFDocuments/t/G/SPS/NCRI275A1.DOCX")</f>
      </c>
      <c r="P796" s="6">
        <f>HYPERLINK("https://docs.wto.org/imrd/directdoc.asp?DDFDocuments/u/G/SPS/NCRI275A1.DOCX", "https://docs.wto.org/imrd/directdoc.asp?DDFDocuments/u/G/SPS/NCRI275A1.DOCX")</f>
      </c>
      <c r="Q796" s="6">
        <f>HYPERLINK("https://docs.wto.org/imrd/directdoc.asp?DDFDocuments/v/G/SPS/NCRI275A1.DOCX", "https://docs.wto.org/imrd/directdoc.asp?DDFDocuments/v/G/SPS/NCRI275A1.DOCX")</f>
      </c>
    </row>
    <row r="797">
      <c r="A797" s="6" t="s">
        <v>115</v>
      </c>
      <c r="B797" s="7">
        <v>45505</v>
      </c>
      <c r="C797" s="6">
        <f>HYPERLINK("https://eping.wto.org/en/Search?viewData= G/SPS/N/BRA/2317"," G/SPS/N/BRA/2317")</f>
      </c>
      <c r="D797" s="8" t="s">
        <v>2863</v>
      </c>
      <c r="E797" s="8" t="s">
        <v>2864</v>
      </c>
      <c r="F797" s="8" t="s">
        <v>2865</v>
      </c>
      <c r="G797" s="6" t="s">
        <v>40</v>
      </c>
      <c r="H797" s="6" t="s">
        <v>40</v>
      </c>
      <c r="I797" s="6" t="s">
        <v>184</v>
      </c>
      <c r="J797" s="6" t="s">
        <v>410</v>
      </c>
      <c r="K797" s="6" t="s">
        <v>442</v>
      </c>
      <c r="L797" s="7" t="s">
        <v>40</v>
      </c>
      <c r="M797" s="6" t="s">
        <v>25</v>
      </c>
      <c r="N797" s="8" t="s">
        <v>2866</v>
      </c>
      <c r="O797" s="6">
        <f>HYPERLINK("https://docs.wto.org/imrd/directdoc.asp?DDFDocuments/t/G/SPS/NBRA2317.DOCX", "https://docs.wto.org/imrd/directdoc.asp?DDFDocuments/t/G/SPS/NBRA2317.DOCX")</f>
      </c>
      <c r="P797" s="6">
        <f>HYPERLINK("https://docs.wto.org/imrd/directdoc.asp?DDFDocuments/u/G/SPS/NBRA2317.DOCX", "https://docs.wto.org/imrd/directdoc.asp?DDFDocuments/u/G/SPS/NBRA2317.DOCX")</f>
      </c>
      <c r="Q797" s="6">
        <f>HYPERLINK("https://docs.wto.org/imrd/directdoc.asp?DDFDocuments/v/G/SPS/NBRA2317.DOCX", "https://docs.wto.org/imrd/directdoc.asp?DDFDocuments/v/G/SPS/NBRA2317.DOCX")</f>
      </c>
    </row>
    <row r="798">
      <c r="A798" s="6" t="s">
        <v>129</v>
      </c>
      <c r="B798" s="7">
        <v>45505</v>
      </c>
      <c r="C798" s="6">
        <f>HYPERLINK("https://eping.wto.org/en/Search?viewData= G/SPS/N/IND/310"," G/SPS/N/IND/310")</f>
      </c>
      <c r="D798" s="8" t="s">
        <v>2867</v>
      </c>
      <c r="E798" s="8" t="s">
        <v>2868</v>
      </c>
      <c r="F798" s="8" t="s">
        <v>2408</v>
      </c>
      <c r="G798" s="6" t="s">
        <v>40</v>
      </c>
      <c r="H798" s="6" t="s">
        <v>40</v>
      </c>
      <c r="I798" s="6" t="s">
        <v>38</v>
      </c>
      <c r="J798" s="6" t="s">
        <v>39</v>
      </c>
      <c r="K798" s="6" t="s">
        <v>40</v>
      </c>
      <c r="L798" s="7">
        <v>45565</v>
      </c>
      <c r="M798" s="6" t="s">
        <v>25</v>
      </c>
      <c r="N798" s="8" t="s">
        <v>2869</v>
      </c>
      <c r="O798" s="6">
        <f>HYPERLINK("https://docs.wto.org/imrd/directdoc.asp?DDFDocuments/t/G/SPS/NIND310.DOCX", "https://docs.wto.org/imrd/directdoc.asp?DDFDocuments/t/G/SPS/NIND310.DOCX")</f>
      </c>
      <c r="P798" s="6">
        <f>HYPERLINK("https://docs.wto.org/imrd/directdoc.asp?DDFDocuments/u/G/SPS/NIND310.DOCX", "https://docs.wto.org/imrd/directdoc.asp?DDFDocuments/u/G/SPS/NIND310.DOCX")</f>
      </c>
      <c r="Q798" s="6">
        <f>HYPERLINK("https://docs.wto.org/imrd/directdoc.asp?DDFDocuments/v/G/SPS/NIND310.DOCX", "https://docs.wto.org/imrd/directdoc.asp?DDFDocuments/v/G/SPS/NIND310.DOCX")</f>
      </c>
    </row>
    <row r="799">
      <c r="A799" s="6" t="s">
        <v>880</v>
      </c>
      <c r="B799" s="7">
        <v>45505</v>
      </c>
      <c r="C799" s="6">
        <f>HYPERLINK("https://eping.wto.org/en/Search?viewData= G/SPS/N/TZA/369"," G/SPS/N/TZA/369")</f>
      </c>
      <c r="D799" s="8" t="s">
        <v>2870</v>
      </c>
      <c r="E799" s="8" t="s">
        <v>2871</v>
      </c>
      <c r="F799" s="8" t="s">
        <v>2813</v>
      </c>
      <c r="G799" s="6" t="s">
        <v>2735</v>
      </c>
      <c r="H799" s="6" t="s">
        <v>2736</v>
      </c>
      <c r="I799" s="6" t="s">
        <v>38</v>
      </c>
      <c r="J799" s="6" t="s">
        <v>39</v>
      </c>
      <c r="K799" s="6" t="s">
        <v>40</v>
      </c>
      <c r="L799" s="7">
        <v>45565</v>
      </c>
      <c r="M799" s="6" t="s">
        <v>25</v>
      </c>
      <c r="N799" s="8" t="s">
        <v>2872</v>
      </c>
      <c r="O799" s="6">
        <f>HYPERLINK("https://docs.wto.org/imrd/directdoc.asp?DDFDocuments/t/G/SPS/NTZA369.DOCX", "https://docs.wto.org/imrd/directdoc.asp?DDFDocuments/t/G/SPS/NTZA369.DOCX")</f>
      </c>
      <c r="P799" s="6">
        <f>HYPERLINK("https://docs.wto.org/imrd/directdoc.asp?DDFDocuments/u/G/SPS/NTZA369.DOCX", "https://docs.wto.org/imrd/directdoc.asp?DDFDocuments/u/G/SPS/NTZA369.DOCX")</f>
      </c>
      <c r="Q799" s="6">
        <f>HYPERLINK("https://docs.wto.org/imrd/directdoc.asp?DDFDocuments/v/G/SPS/NTZA369.DOCX", "https://docs.wto.org/imrd/directdoc.asp?DDFDocuments/v/G/SPS/NTZA369.DOCX")</f>
      </c>
    </row>
    <row r="800">
      <c r="A800" s="6" t="s">
        <v>1076</v>
      </c>
      <c r="B800" s="7">
        <v>45505</v>
      </c>
      <c r="C800" s="6">
        <f>HYPERLINK("https://eping.wto.org/en/Search?viewData= G/TBT/N/CHN/1882"," G/TBT/N/CHN/1882")</f>
      </c>
      <c r="D800" s="8" t="s">
        <v>2873</v>
      </c>
      <c r="E800" s="8" t="s">
        <v>2874</v>
      </c>
      <c r="F800" s="8" t="s">
        <v>2875</v>
      </c>
      <c r="G800" s="6" t="s">
        <v>2876</v>
      </c>
      <c r="H800" s="6" t="s">
        <v>2877</v>
      </c>
      <c r="I800" s="6" t="s">
        <v>147</v>
      </c>
      <c r="J800" s="6" t="s">
        <v>40</v>
      </c>
      <c r="K800" s="6"/>
      <c r="L800" s="7">
        <v>45565</v>
      </c>
      <c r="M800" s="6" t="s">
        <v>25</v>
      </c>
      <c r="N800" s="8" t="s">
        <v>2878</v>
      </c>
      <c r="O800" s="6">
        <f>HYPERLINK("https://docs.wto.org/imrd/directdoc.asp?DDFDocuments/t/G/TBTN24/CHN1882.DOCX", "https://docs.wto.org/imrd/directdoc.asp?DDFDocuments/t/G/TBTN24/CHN1882.DOCX")</f>
      </c>
      <c r="P800" s="6">
        <f>HYPERLINK("https://docs.wto.org/imrd/directdoc.asp?DDFDocuments/u/G/TBTN24/CHN1882.DOCX", "https://docs.wto.org/imrd/directdoc.asp?DDFDocuments/u/G/TBTN24/CHN1882.DOCX")</f>
      </c>
      <c r="Q800" s="6">
        <f>HYPERLINK("https://docs.wto.org/imrd/directdoc.asp?DDFDocuments/v/G/TBTN24/CHN1882.DOCX", "https://docs.wto.org/imrd/directdoc.asp?DDFDocuments/v/G/TBTN24/CHN1882.DOCX")</f>
      </c>
    </row>
    <row r="801">
      <c r="A801" s="6" t="s">
        <v>1076</v>
      </c>
      <c r="B801" s="7">
        <v>45505</v>
      </c>
      <c r="C801" s="6">
        <f>HYPERLINK("https://eping.wto.org/en/Search?viewData= G/TBT/N/CHN/1877"," G/TBT/N/CHN/1877")</f>
      </c>
      <c r="D801" s="8" t="s">
        <v>2879</v>
      </c>
      <c r="E801" s="8" t="s">
        <v>2880</v>
      </c>
      <c r="F801" s="8" t="s">
        <v>2881</v>
      </c>
      <c r="G801" s="6" t="s">
        <v>2882</v>
      </c>
      <c r="H801" s="6" t="s">
        <v>2883</v>
      </c>
      <c r="I801" s="6" t="s">
        <v>147</v>
      </c>
      <c r="J801" s="6" t="s">
        <v>40</v>
      </c>
      <c r="K801" s="6"/>
      <c r="L801" s="7">
        <v>45565</v>
      </c>
      <c r="M801" s="6" t="s">
        <v>25</v>
      </c>
      <c r="N801" s="8" t="s">
        <v>2884</v>
      </c>
      <c r="O801" s="6">
        <f>HYPERLINK("https://docs.wto.org/imrd/directdoc.asp?DDFDocuments/t/G/TBTN24/CHN1877.DOCX", "https://docs.wto.org/imrd/directdoc.asp?DDFDocuments/t/G/TBTN24/CHN1877.DOCX")</f>
      </c>
      <c r="P801" s="6">
        <f>HYPERLINK("https://docs.wto.org/imrd/directdoc.asp?DDFDocuments/u/G/TBTN24/CHN1877.DOCX", "https://docs.wto.org/imrd/directdoc.asp?DDFDocuments/u/G/TBTN24/CHN1877.DOCX")</f>
      </c>
      <c r="Q801" s="6">
        <f>HYPERLINK("https://docs.wto.org/imrd/directdoc.asp?DDFDocuments/v/G/TBTN24/CHN1877.DOCX", "https://docs.wto.org/imrd/directdoc.asp?DDFDocuments/v/G/TBTN24/CHN1877.DOCX")</f>
      </c>
    </row>
    <row r="802">
      <c r="A802" s="6" t="s">
        <v>160</v>
      </c>
      <c r="B802" s="7">
        <v>45505</v>
      </c>
      <c r="C802" s="6">
        <f>HYPERLINK("https://eping.wto.org/en/Search?viewData= G/TBT/N/USA/1336/Rev.1/Add.2"," G/TBT/N/USA/1336/Rev.1/Add.2")</f>
      </c>
      <c r="D802" s="8" t="s">
        <v>1356</v>
      </c>
      <c r="E802" s="8" t="s">
        <v>2885</v>
      </c>
      <c r="F802" s="8" t="s">
        <v>1358</v>
      </c>
      <c r="G802" s="6" t="s">
        <v>40</v>
      </c>
      <c r="H802" s="6" t="s">
        <v>1359</v>
      </c>
      <c r="I802" s="6" t="s">
        <v>993</v>
      </c>
      <c r="J802" s="6" t="s">
        <v>40</v>
      </c>
      <c r="K802" s="6"/>
      <c r="L802" s="7" t="s">
        <v>40</v>
      </c>
      <c r="M802" s="6" t="s">
        <v>76</v>
      </c>
      <c r="N802" s="8" t="s">
        <v>2886</v>
      </c>
      <c r="O802" s="6">
        <f>HYPERLINK("https://docs.wto.org/imrd/directdoc.asp?DDFDocuments/t/G/TBTN18/USA1336R1A2.DOCX", "https://docs.wto.org/imrd/directdoc.asp?DDFDocuments/t/G/TBTN18/USA1336R1A2.DOCX")</f>
      </c>
      <c r="P802" s="6">
        <f>HYPERLINK("https://docs.wto.org/imrd/directdoc.asp?DDFDocuments/u/G/TBTN18/USA1336R1A2.DOCX", "https://docs.wto.org/imrd/directdoc.asp?DDFDocuments/u/G/TBTN18/USA1336R1A2.DOCX")</f>
      </c>
      <c r="Q802" s="6">
        <f>HYPERLINK("https://docs.wto.org/imrd/directdoc.asp?DDFDocuments/v/G/TBTN18/USA1336R1A2.DOCX", "https://docs.wto.org/imrd/directdoc.asp?DDFDocuments/v/G/TBTN18/USA1336R1A2.DOCX")</f>
      </c>
    </row>
    <row r="803">
      <c r="A803" s="6" t="s">
        <v>515</v>
      </c>
      <c r="B803" s="7">
        <v>45505</v>
      </c>
      <c r="C803" s="6">
        <f>HYPERLINK("https://eping.wto.org/en/Search?viewData= G/TBT/N/EU/1081"," G/TBT/N/EU/1081")</f>
      </c>
      <c r="D803" s="8" t="s">
        <v>2887</v>
      </c>
      <c r="E803" s="8" t="s">
        <v>2888</v>
      </c>
      <c r="F803" s="8" t="s">
        <v>1334</v>
      </c>
      <c r="G803" s="6" t="s">
        <v>40</v>
      </c>
      <c r="H803" s="6" t="s">
        <v>212</v>
      </c>
      <c r="I803" s="6" t="s">
        <v>1335</v>
      </c>
      <c r="J803" s="6" t="s">
        <v>40</v>
      </c>
      <c r="K803" s="6"/>
      <c r="L803" s="7">
        <v>45565</v>
      </c>
      <c r="M803" s="6" t="s">
        <v>25</v>
      </c>
      <c r="N803" s="8" t="s">
        <v>2889</v>
      </c>
      <c r="O803" s="6">
        <f>HYPERLINK("https://docs.wto.org/imrd/directdoc.asp?DDFDocuments/t/G/TBTN24/EU1081.DOCX", "https://docs.wto.org/imrd/directdoc.asp?DDFDocuments/t/G/TBTN24/EU1081.DOCX")</f>
      </c>
      <c r="P803" s="6">
        <f>HYPERLINK("https://docs.wto.org/imrd/directdoc.asp?DDFDocuments/u/G/TBTN24/EU1081.DOCX", "https://docs.wto.org/imrd/directdoc.asp?DDFDocuments/u/G/TBTN24/EU1081.DOCX")</f>
      </c>
      <c r="Q803" s="6">
        <f>HYPERLINK("https://docs.wto.org/imrd/directdoc.asp?DDFDocuments/v/G/TBTN24/EU1081.DOCX", "https://docs.wto.org/imrd/directdoc.asp?DDFDocuments/v/G/TBTN24/EU1081.DOCX")</f>
      </c>
    </row>
    <row r="804">
      <c r="A804" s="6" t="s">
        <v>880</v>
      </c>
      <c r="B804" s="7">
        <v>45505</v>
      </c>
      <c r="C804" s="6">
        <f>HYPERLINK("https://eping.wto.org/en/Search?viewData= G/SPS/N/TZA/371"," G/SPS/N/TZA/371")</f>
      </c>
      <c r="D804" s="8" t="s">
        <v>2890</v>
      </c>
      <c r="E804" s="8" t="s">
        <v>2891</v>
      </c>
      <c r="F804" s="8" t="s">
        <v>2813</v>
      </c>
      <c r="G804" s="6" t="s">
        <v>2735</v>
      </c>
      <c r="H804" s="6" t="s">
        <v>2736</v>
      </c>
      <c r="I804" s="6" t="s">
        <v>38</v>
      </c>
      <c r="J804" s="6" t="s">
        <v>60</v>
      </c>
      <c r="K804" s="6" t="s">
        <v>40</v>
      </c>
      <c r="L804" s="7">
        <v>45565</v>
      </c>
      <c r="M804" s="6" t="s">
        <v>25</v>
      </c>
      <c r="N804" s="8" t="s">
        <v>2892</v>
      </c>
      <c r="O804" s="6">
        <f>HYPERLINK("https://docs.wto.org/imrd/directdoc.asp?DDFDocuments/t/G/SPS/NTZA371.DOCX", "https://docs.wto.org/imrd/directdoc.asp?DDFDocuments/t/G/SPS/NTZA371.DOCX")</f>
      </c>
      <c r="P804" s="6">
        <f>HYPERLINK("https://docs.wto.org/imrd/directdoc.asp?DDFDocuments/u/G/SPS/NTZA371.DOCX", "https://docs.wto.org/imrd/directdoc.asp?DDFDocuments/u/G/SPS/NTZA371.DOCX")</f>
      </c>
      <c r="Q804" s="6">
        <f>HYPERLINK("https://docs.wto.org/imrd/directdoc.asp?DDFDocuments/v/G/SPS/NTZA371.DOCX", "https://docs.wto.org/imrd/directdoc.asp?DDFDocuments/v/G/SPS/NTZA371.DOCX")</f>
      </c>
    </row>
    <row r="805">
      <c r="A805" s="6" t="s">
        <v>2893</v>
      </c>
      <c r="B805" s="7">
        <v>45505</v>
      </c>
      <c r="C805" s="6">
        <f>HYPERLINK("https://eping.wto.org/en/Search?viewData= G/TBT/N/JOR/56"," G/TBT/N/JOR/56")</f>
      </c>
      <c r="D805" s="8" t="s">
        <v>2894</v>
      </c>
      <c r="E805" s="8" t="s">
        <v>2895</v>
      </c>
      <c r="F805" s="8" t="s">
        <v>2896</v>
      </c>
      <c r="G805" s="6" t="s">
        <v>2897</v>
      </c>
      <c r="H805" s="6" t="s">
        <v>2898</v>
      </c>
      <c r="I805" s="6" t="s">
        <v>213</v>
      </c>
      <c r="J805" s="6" t="s">
        <v>40</v>
      </c>
      <c r="K805" s="6"/>
      <c r="L805" s="7">
        <v>45534</v>
      </c>
      <c r="M805" s="6" t="s">
        <v>25</v>
      </c>
      <c r="N805" s="8" t="s">
        <v>2899</v>
      </c>
      <c r="O805" s="6">
        <f>HYPERLINK("https://docs.wto.org/imrd/directdoc.asp?DDFDocuments/t/G/TBTN24/JOR56.DOCX", "https://docs.wto.org/imrd/directdoc.asp?DDFDocuments/t/G/TBTN24/JOR56.DOCX")</f>
      </c>
      <c r="P805" s="6">
        <f>HYPERLINK("https://docs.wto.org/imrd/directdoc.asp?DDFDocuments/u/G/TBTN24/JOR56.DOCX", "https://docs.wto.org/imrd/directdoc.asp?DDFDocuments/u/G/TBTN24/JOR56.DOCX")</f>
      </c>
      <c r="Q805" s="6">
        <f>HYPERLINK("https://docs.wto.org/imrd/directdoc.asp?DDFDocuments/v/G/TBTN24/JOR56.DOCX", "https://docs.wto.org/imrd/directdoc.asp?DDFDocuments/v/G/TBTN24/JOR56.DOCX")</f>
      </c>
    </row>
    <row r="806">
      <c r="A806" s="6" t="s">
        <v>880</v>
      </c>
      <c r="B806" s="7">
        <v>45505</v>
      </c>
      <c r="C806" s="6">
        <f>HYPERLINK("https://eping.wto.org/en/Search?viewData= G/SPS/N/TZA/370"," G/SPS/N/TZA/370")</f>
      </c>
      <c r="D806" s="8" t="s">
        <v>2900</v>
      </c>
      <c r="E806" s="8" t="s">
        <v>2901</v>
      </c>
      <c r="F806" s="8" t="s">
        <v>2813</v>
      </c>
      <c r="G806" s="6" t="s">
        <v>2735</v>
      </c>
      <c r="H806" s="6" t="s">
        <v>2736</v>
      </c>
      <c r="I806" s="6" t="s">
        <v>38</v>
      </c>
      <c r="J806" s="6" t="s">
        <v>60</v>
      </c>
      <c r="K806" s="6" t="s">
        <v>40</v>
      </c>
      <c r="L806" s="7">
        <v>45565</v>
      </c>
      <c r="M806" s="6" t="s">
        <v>25</v>
      </c>
      <c r="N806" s="8" t="s">
        <v>2902</v>
      </c>
      <c r="O806" s="6">
        <f>HYPERLINK("https://docs.wto.org/imrd/directdoc.asp?DDFDocuments/t/G/SPS/NTZA370.DOCX", "https://docs.wto.org/imrd/directdoc.asp?DDFDocuments/t/G/SPS/NTZA370.DOCX")</f>
      </c>
      <c r="P806" s="6">
        <f>HYPERLINK("https://docs.wto.org/imrd/directdoc.asp?DDFDocuments/u/G/SPS/NTZA370.DOCX", "https://docs.wto.org/imrd/directdoc.asp?DDFDocuments/u/G/SPS/NTZA370.DOCX")</f>
      </c>
      <c r="Q806" s="6">
        <f>HYPERLINK("https://docs.wto.org/imrd/directdoc.asp?DDFDocuments/v/G/SPS/NTZA370.DOCX", "https://docs.wto.org/imrd/directdoc.asp?DDFDocuments/v/G/SPS/NTZA370.DOCX")</f>
      </c>
    </row>
    <row r="807">
      <c r="A807" s="6" t="s">
        <v>450</v>
      </c>
      <c r="B807" s="7">
        <v>45505</v>
      </c>
      <c r="C807" s="6">
        <f>HYPERLINK("https://eping.wto.org/en/Search?viewData= G/TBT/N/EGY/290/Add.1"," G/TBT/N/EGY/290/Add.1")</f>
      </c>
      <c r="D807" s="8" t="s">
        <v>2903</v>
      </c>
      <c r="E807" s="8" t="s">
        <v>2904</v>
      </c>
      <c r="F807" s="8" t="s">
        <v>2905</v>
      </c>
      <c r="G807" s="6" t="s">
        <v>40</v>
      </c>
      <c r="H807" s="6" t="s">
        <v>2906</v>
      </c>
      <c r="I807" s="6" t="s">
        <v>280</v>
      </c>
      <c r="J807" s="6" t="s">
        <v>40</v>
      </c>
      <c r="K807" s="6"/>
      <c r="L807" s="7" t="s">
        <v>40</v>
      </c>
      <c r="M807" s="6" t="s">
        <v>76</v>
      </c>
      <c r="N807" s="6"/>
      <c r="O807" s="6">
        <f>HYPERLINK("https://docs.wto.org/imrd/directdoc.asp?DDFDocuments/t/G/TBTN21/EGY290A1.DOCX", "https://docs.wto.org/imrd/directdoc.asp?DDFDocuments/t/G/TBTN21/EGY290A1.DOCX")</f>
      </c>
      <c r="P807" s="6">
        <f>HYPERLINK("https://docs.wto.org/imrd/directdoc.asp?DDFDocuments/u/G/TBTN21/EGY290A1.DOCX", "https://docs.wto.org/imrd/directdoc.asp?DDFDocuments/u/G/TBTN21/EGY290A1.DOCX")</f>
      </c>
      <c r="Q807" s="6">
        <f>HYPERLINK("https://docs.wto.org/imrd/directdoc.asp?DDFDocuments/v/G/TBTN21/EGY290A1.DOCX", "https://docs.wto.org/imrd/directdoc.asp?DDFDocuments/v/G/TBTN21/EGY290A1.DOCX")</f>
      </c>
    </row>
    <row r="808">
      <c r="A808" s="6" t="s">
        <v>198</v>
      </c>
      <c r="B808" s="7">
        <v>45505</v>
      </c>
      <c r="C808" s="6">
        <f>HYPERLINK("https://eping.wto.org/en/Search?viewData= G/TBT/N/CHL/695"," G/TBT/N/CHL/695")</f>
      </c>
      <c r="D808" s="8" t="s">
        <v>2907</v>
      </c>
      <c r="E808" s="8" t="s">
        <v>2908</v>
      </c>
      <c r="F808" s="8" t="s">
        <v>2909</v>
      </c>
      <c r="G808" s="6" t="s">
        <v>40</v>
      </c>
      <c r="H808" s="6" t="s">
        <v>40</v>
      </c>
      <c r="I808" s="6" t="s">
        <v>147</v>
      </c>
      <c r="J808" s="6" t="s">
        <v>40</v>
      </c>
      <c r="K808" s="6"/>
      <c r="L808" s="7">
        <v>45565</v>
      </c>
      <c r="M808" s="6" t="s">
        <v>25</v>
      </c>
      <c r="N808" s="8" t="s">
        <v>2910</v>
      </c>
      <c r="O808" s="6">
        <f>HYPERLINK("https://docs.wto.org/imrd/directdoc.asp?DDFDocuments/t/G/TBTN24/CHL695.DOCX", "https://docs.wto.org/imrd/directdoc.asp?DDFDocuments/t/G/TBTN24/CHL695.DOCX")</f>
      </c>
      <c r="P808" s="6">
        <f>HYPERLINK("https://docs.wto.org/imrd/directdoc.asp?DDFDocuments/u/G/TBTN24/CHL695.DOCX", "https://docs.wto.org/imrd/directdoc.asp?DDFDocuments/u/G/TBTN24/CHL695.DOCX")</f>
      </c>
      <c r="Q808" s="6">
        <f>HYPERLINK("https://docs.wto.org/imrd/directdoc.asp?DDFDocuments/v/G/TBTN24/CHL695.DOCX", "https://docs.wto.org/imrd/directdoc.asp?DDFDocuments/v/G/TBTN24/CHL695.DOCX")</f>
      </c>
    </row>
    <row r="809">
      <c r="A809" s="6" t="s">
        <v>1076</v>
      </c>
      <c r="B809" s="7">
        <v>45505</v>
      </c>
      <c r="C809" s="6">
        <f>HYPERLINK("https://eping.wto.org/en/Search?viewData= G/TBT/N/CHN/1878"," G/TBT/N/CHN/1878")</f>
      </c>
      <c r="D809" s="8" t="s">
        <v>2911</v>
      </c>
      <c r="E809" s="8" t="s">
        <v>2912</v>
      </c>
      <c r="F809" s="8" t="s">
        <v>2913</v>
      </c>
      <c r="G809" s="6" t="s">
        <v>2914</v>
      </c>
      <c r="H809" s="6" t="s">
        <v>2915</v>
      </c>
      <c r="I809" s="6" t="s">
        <v>280</v>
      </c>
      <c r="J809" s="6" t="s">
        <v>95</v>
      </c>
      <c r="K809" s="6"/>
      <c r="L809" s="7">
        <v>45565</v>
      </c>
      <c r="M809" s="6" t="s">
        <v>25</v>
      </c>
      <c r="N809" s="8" t="s">
        <v>2916</v>
      </c>
      <c r="O809" s="6">
        <f>HYPERLINK("https://docs.wto.org/imrd/directdoc.asp?DDFDocuments/t/G/TBTN24/CHN1878.DOCX", "https://docs.wto.org/imrd/directdoc.asp?DDFDocuments/t/G/TBTN24/CHN1878.DOCX")</f>
      </c>
      <c r="P809" s="6">
        <f>HYPERLINK("https://docs.wto.org/imrd/directdoc.asp?DDFDocuments/u/G/TBTN24/CHN1878.DOCX", "https://docs.wto.org/imrd/directdoc.asp?DDFDocuments/u/G/TBTN24/CHN1878.DOCX")</f>
      </c>
      <c r="Q809" s="6">
        <f>HYPERLINK("https://docs.wto.org/imrd/directdoc.asp?DDFDocuments/v/G/TBTN24/CHN1878.DOCX", "https://docs.wto.org/imrd/directdoc.asp?DDFDocuments/v/G/TBTN24/CHN1878.DOCX")</f>
      </c>
    </row>
    <row r="810">
      <c r="A810" s="6" t="s">
        <v>1076</v>
      </c>
      <c r="B810" s="7">
        <v>45505</v>
      </c>
      <c r="C810" s="6">
        <f>HYPERLINK("https://eping.wto.org/en/Search?viewData= G/TBT/N/CHN/1881"," G/TBT/N/CHN/1881")</f>
      </c>
      <c r="D810" s="8" t="s">
        <v>2917</v>
      </c>
      <c r="E810" s="8" t="s">
        <v>2918</v>
      </c>
      <c r="F810" s="8" t="s">
        <v>2828</v>
      </c>
      <c r="G810" s="6" t="s">
        <v>2829</v>
      </c>
      <c r="H810" s="6" t="s">
        <v>2830</v>
      </c>
      <c r="I810" s="6" t="s">
        <v>2834</v>
      </c>
      <c r="J810" s="6" t="s">
        <v>40</v>
      </c>
      <c r="K810" s="6"/>
      <c r="L810" s="7">
        <v>45565</v>
      </c>
      <c r="M810" s="6" t="s">
        <v>25</v>
      </c>
      <c r="N810" s="8" t="s">
        <v>2919</v>
      </c>
      <c r="O810" s="6">
        <f>HYPERLINK("https://docs.wto.org/imrd/directdoc.asp?DDFDocuments/t/G/TBTN24/CHN1881.DOCX", "https://docs.wto.org/imrd/directdoc.asp?DDFDocuments/t/G/TBTN24/CHN1881.DOCX")</f>
      </c>
      <c r="P810" s="6">
        <f>HYPERLINK("https://docs.wto.org/imrd/directdoc.asp?DDFDocuments/u/G/TBTN24/CHN1881.DOCX", "https://docs.wto.org/imrd/directdoc.asp?DDFDocuments/u/G/TBTN24/CHN1881.DOCX")</f>
      </c>
      <c r="Q810" s="6">
        <f>HYPERLINK("https://docs.wto.org/imrd/directdoc.asp?DDFDocuments/v/G/TBTN24/CHN1881.DOCX", "https://docs.wto.org/imrd/directdoc.asp?DDFDocuments/v/G/TBTN24/CHN1881.DOCX")</f>
      </c>
    </row>
    <row r="811">
      <c r="A811" s="6" t="s">
        <v>1076</v>
      </c>
      <c r="B811" s="7">
        <v>45505</v>
      </c>
      <c r="C811" s="6">
        <f>HYPERLINK("https://eping.wto.org/en/Search?viewData= G/TBT/N/CHN/1884"," G/TBT/N/CHN/1884")</f>
      </c>
      <c r="D811" s="8" t="s">
        <v>2920</v>
      </c>
      <c r="E811" s="8" t="s">
        <v>2921</v>
      </c>
      <c r="F811" s="8" t="s">
        <v>2922</v>
      </c>
      <c r="G811" s="6" t="s">
        <v>2923</v>
      </c>
      <c r="H811" s="6" t="s">
        <v>2819</v>
      </c>
      <c r="I811" s="6" t="s">
        <v>165</v>
      </c>
      <c r="J811" s="6" t="s">
        <v>40</v>
      </c>
      <c r="K811" s="6"/>
      <c r="L811" s="7">
        <v>45565</v>
      </c>
      <c r="M811" s="6" t="s">
        <v>25</v>
      </c>
      <c r="N811" s="8" t="s">
        <v>2924</v>
      </c>
      <c r="O811" s="6">
        <f>HYPERLINK("https://docs.wto.org/imrd/directdoc.asp?DDFDocuments/t/G/TBTN24/CHN1884.DOCX", "https://docs.wto.org/imrd/directdoc.asp?DDFDocuments/t/G/TBTN24/CHN1884.DOCX")</f>
      </c>
      <c r="P811" s="6">
        <f>HYPERLINK("https://docs.wto.org/imrd/directdoc.asp?DDFDocuments/u/G/TBTN24/CHN1884.DOCX", "https://docs.wto.org/imrd/directdoc.asp?DDFDocuments/u/G/TBTN24/CHN1884.DOCX")</f>
      </c>
      <c r="Q811" s="6">
        <f>HYPERLINK("https://docs.wto.org/imrd/directdoc.asp?DDFDocuments/v/G/TBTN24/CHN1884.DOCX", "https://docs.wto.org/imrd/directdoc.asp?DDFDocuments/v/G/TBTN24/CHN1884.DOCX")</f>
      </c>
    </row>
    <row r="812">
      <c r="A812" s="6" t="s">
        <v>515</v>
      </c>
      <c r="B812" s="7">
        <v>45505</v>
      </c>
      <c r="C812" s="6">
        <f>HYPERLINK("https://eping.wto.org/en/Search?viewData= G/TBT/N/EU/1080"," G/TBT/N/EU/1080")</f>
      </c>
      <c r="D812" s="8" t="s">
        <v>2925</v>
      </c>
      <c r="E812" s="8" t="s">
        <v>2926</v>
      </c>
      <c r="F812" s="8" t="s">
        <v>2927</v>
      </c>
      <c r="G812" s="6" t="s">
        <v>40</v>
      </c>
      <c r="H812" s="6" t="s">
        <v>2928</v>
      </c>
      <c r="I812" s="6" t="s">
        <v>142</v>
      </c>
      <c r="J812" s="6" t="s">
        <v>40</v>
      </c>
      <c r="K812" s="6"/>
      <c r="L812" s="7">
        <v>45565</v>
      </c>
      <c r="M812" s="6" t="s">
        <v>25</v>
      </c>
      <c r="N812" s="8" t="s">
        <v>2929</v>
      </c>
      <c r="O812" s="6">
        <f>HYPERLINK("https://docs.wto.org/imrd/directdoc.asp?DDFDocuments/t/G/TBTN24/EU1080.DOCX", "https://docs.wto.org/imrd/directdoc.asp?DDFDocuments/t/G/TBTN24/EU1080.DOCX")</f>
      </c>
      <c r="P812" s="6">
        <f>HYPERLINK("https://docs.wto.org/imrd/directdoc.asp?DDFDocuments/u/G/TBTN24/EU1080.DOCX", "https://docs.wto.org/imrd/directdoc.asp?DDFDocuments/u/G/TBTN24/EU1080.DOCX")</f>
      </c>
      <c r="Q812" s="6">
        <f>HYPERLINK("https://docs.wto.org/imrd/directdoc.asp?DDFDocuments/v/G/TBTN24/EU1080.DOCX", "https://docs.wto.org/imrd/directdoc.asp?DDFDocuments/v/G/TBTN24/EU1080.DOCX")</f>
      </c>
    </row>
    <row r="813">
      <c r="A813" s="6" t="s">
        <v>880</v>
      </c>
      <c r="B813" s="7">
        <v>45505</v>
      </c>
      <c r="C813" s="6">
        <f>HYPERLINK("https://eping.wto.org/en/Search?viewData= G/TBT/N/TZA/1148"," G/TBT/N/TZA/1148")</f>
      </c>
      <c r="D813" s="8" t="s">
        <v>2930</v>
      </c>
      <c r="E813" s="8" t="s">
        <v>2931</v>
      </c>
      <c r="F813" s="8" t="s">
        <v>2734</v>
      </c>
      <c r="G813" s="6" t="s">
        <v>2735</v>
      </c>
      <c r="H813" s="6" t="s">
        <v>2736</v>
      </c>
      <c r="I813" s="6" t="s">
        <v>886</v>
      </c>
      <c r="J813" s="6" t="s">
        <v>24</v>
      </c>
      <c r="K813" s="6"/>
      <c r="L813" s="7">
        <v>45565</v>
      </c>
      <c r="M813" s="6" t="s">
        <v>25</v>
      </c>
      <c r="N813" s="8" t="s">
        <v>2932</v>
      </c>
      <c r="O813" s="6">
        <f>HYPERLINK("https://docs.wto.org/imrd/directdoc.asp?DDFDocuments/t/G/TBTN24/TZA1148.DOCX", "https://docs.wto.org/imrd/directdoc.asp?DDFDocuments/t/G/TBTN24/TZA1148.DOCX")</f>
      </c>
      <c r="P813" s="6">
        <f>HYPERLINK("https://docs.wto.org/imrd/directdoc.asp?DDFDocuments/u/G/TBTN24/TZA1148.DOCX", "https://docs.wto.org/imrd/directdoc.asp?DDFDocuments/u/G/TBTN24/TZA1148.DOCX")</f>
      </c>
      <c r="Q813" s="6">
        <f>HYPERLINK("https://docs.wto.org/imrd/directdoc.asp?DDFDocuments/v/G/TBTN24/TZA1148.DOCX", "https://docs.wto.org/imrd/directdoc.asp?DDFDocuments/v/G/TBTN24/TZA1148.DOCX")</f>
      </c>
    </row>
    <row r="814">
      <c r="A814" s="6" t="s">
        <v>450</v>
      </c>
      <c r="B814" s="7">
        <v>45505</v>
      </c>
      <c r="C814" s="6">
        <f>HYPERLINK("https://eping.wto.org/en/Search?viewData= G/TBT/N/EGY/212/Add.8"," G/TBT/N/EGY/212/Add.8")</f>
      </c>
      <c r="D814" s="8" t="s">
        <v>2933</v>
      </c>
      <c r="E814" s="8" t="s">
        <v>2934</v>
      </c>
      <c r="F814" s="8" t="s">
        <v>2935</v>
      </c>
      <c r="G814" s="6" t="s">
        <v>2936</v>
      </c>
      <c r="H814" s="6" t="s">
        <v>2937</v>
      </c>
      <c r="I814" s="6" t="s">
        <v>147</v>
      </c>
      <c r="J814" s="6" t="s">
        <v>122</v>
      </c>
      <c r="K814" s="6"/>
      <c r="L814" s="7" t="s">
        <v>40</v>
      </c>
      <c r="M814" s="6" t="s">
        <v>76</v>
      </c>
      <c r="N814" s="6"/>
      <c r="O814" s="6">
        <f>HYPERLINK("https://docs.wto.org/imrd/directdoc.asp?DDFDocuments/t/G/TBTN19/EGY212A8.DOCX", "https://docs.wto.org/imrd/directdoc.asp?DDFDocuments/t/G/TBTN19/EGY212A8.DOCX")</f>
      </c>
      <c r="P814" s="6">
        <f>HYPERLINK("https://docs.wto.org/imrd/directdoc.asp?DDFDocuments/u/G/TBTN19/EGY212A8.DOCX", "https://docs.wto.org/imrd/directdoc.asp?DDFDocuments/u/G/TBTN19/EGY212A8.DOCX")</f>
      </c>
      <c r="Q814" s="6">
        <f>HYPERLINK("https://docs.wto.org/imrd/directdoc.asp?DDFDocuments/v/G/TBTN19/EGY212A8.DOCX", "https://docs.wto.org/imrd/directdoc.asp?DDFDocuments/v/G/TBTN19/EGY212A8.DOCX")</f>
      </c>
    </row>
    <row r="815">
      <c r="A815" s="6" t="s">
        <v>880</v>
      </c>
      <c r="B815" s="7">
        <v>45505</v>
      </c>
      <c r="C815" s="6">
        <f>HYPERLINK("https://eping.wto.org/en/Search?viewData= G/SPS/N/TZA/368"," G/SPS/N/TZA/368")</f>
      </c>
      <c r="D815" s="8" t="s">
        <v>2938</v>
      </c>
      <c r="E815" s="8" t="s">
        <v>2939</v>
      </c>
      <c r="F815" s="8" t="s">
        <v>2940</v>
      </c>
      <c r="G815" s="6" t="s">
        <v>2735</v>
      </c>
      <c r="H815" s="6" t="s">
        <v>2736</v>
      </c>
      <c r="I815" s="6" t="s">
        <v>38</v>
      </c>
      <c r="J815" s="6" t="s">
        <v>60</v>
      </c>
      <c r="K815" s="6" t="s">
        <v>40</v>
      </c>
      <c r="L815" s="7">
        <v>45565</v>
      </c>
      <c r="M815" s="6" t="s">
        <v>25</v>
      </c>
      <c r="N815" s="8" t="s">
        <v>2941</v>
      </c>
      <c r="O815" s="6">
        <f>HYPERLINK("https://docs.wto.org/imrd/directdoc.asp?DDFDocuments/t/G/SPS/NTZA368.DOCX", "https://docs.wto.org/imrd/directdoc.asp?DDFDocuments/t/G/SPS/NTZA368.DOCX")</f>
      </c>
      <c r="P815" s="6">
        <f>HYPERLINK("https://docs.wto.org/imrd/directdoc.asp?DDFDocuments/u/G/SPS/NTZA368.DOCX", "https://docs.wto.org/imrd/directdoc.asp?DDFDocuments/u/G/SPS/NTZA368.DOCX")</f>
      </c>
      <c r="Q815" s="6">
        <f>HYPERLINK("https://docs.wto.org/imrd/directdoc.asp?DDFDocuments/v/G/SPS/NTZA368.DOCX", "https://docs.wto.org/imrd/directdoc.asp?DDFDocuments/v/G/SPS/NTZA368.DOCX")</f>
      </c>
    </row>
    <row r="816">
      <c r="A816" s="6" t="s">
        <v>129</v>
      </c>
      <c r="B816" s="7">
        <v>45505</v>
      </c>
      <c r="C816" s="6">
        <f>HYPERLINK("https://eping.wto.org/en/Search?viewData= G/SPS/N/IND/309"," G/SPS/N/IND/309")</f>
      </c>
      <c r="D816" s="8" t="s">
        <v>2867</v>
      </c>
      <c r="E816" s="8" t="s">
        <v>2942</v>
      </c>
      <c r="F816" s="8" t="s">
        <v>2408</v>
      </c>
      <c r="G816" s="6" t="s">
        <v>40</v>
      </c>
      <c r="H816" s="6" t="s">
        <v>40</v>
      </c>
      <c r="I816" s="6" t="s">
        <v>38</v>
      </c>
      <c r="J816" s="6" t="s">
        <v>60</v>
      </c>
      <c r="K816" s="6" t="s">
        <v>40</v>
      </c>
      <c r="L816" s="7">
        <v>45565</v>
      </c>
      <c r="M816" s="6" t="s">
        <v>25</v>
      </c>
      <c r="N816" s="8" t="s">
        <v>2943</v>
      </c>
      <c r="O816" s="6">
        <f>HYPERLINK("https://docs.wto.org/imrd/directdoc.asp?DDFDocuments/t/G/SPS/NIND309.DOCX", "https://docs.wto.org/imrd/directdoc.asp?DDFDocuments/t/G/SPS/NIND309.DOCX")</f>
      </c>
      <c r="P816" s="6">
        <f>HYPERLINK("https://docs.wto.org/imrd/directdoc.asp?DDFDocuments/u/G/SPS/NIND309.DOCX", "https://docs.wto.org/imrd/directdoc.asp?DDFDocuments/u/G/SPS/NIND309.DOCX")</f>
      </c>
      <c r="Q816" s="6">
        <f>HYPERLINK("https://docs.wto.org/imrd/directdoc.asp?DDFDocuments/v/G/SPS/NIND309.DOCX", "https://docs.wto.org/imrd/directdoc.asp?DDFDocuments/v/G/SPS/NIND309.DOCX")</f>
      </c>
    </row>
    <row r="817">
      <c r="A817" s="6" t="s">
        <v>1076</v>
      </c>
      <c r="B817" s="7">
        <v>45505</v>
      </c>
      <c r="C817" s="6">
        <f>HYPERLINK("https://eping.wto.org/en/Search?viewData= G/TBT/N/CHN/1886"," G/TBT/N/CHN/1886")</f>
      </c>
      <c r="D817" s="8" t="s">
        <v>2944</v>
      </c>
      <c r="E817" s="8" t="s">
        <v>2945</v>
      </c>
      <c r="F817" s="8" t="s">
        <v>2946</v>
      </c>
      <c r="G817" s="6" t="s">
        <v>2947</v>
      </c>
      <c r="H817" s="6" t="s">
        <v>2819</v>
      </c>
      <c r="I817" s="6" t="s">
        <v>165</v>
      </c>
      <c r="J817" s="6" t="s">
        <v>40</v>
      </c>
      <c r="K817" s="6"/>
      <c r="L817" s="7">
        <v>45565</v>
      </c>
      <c r="M817" s="6" t="s">
        <v>25</v>
      </c>
      <c r="N817" s="8" t="s">
        <v>2948</v>
      </c>
      <c r="O817" s="6">
        <f>HYPERLINK("https://docs.wto.org/imrd/directdoc.asp?DDFDocuments/t/G/TBTN24/CHN1886.DOCX", "https://docs.wto.org/imrd/directdoc.asp?DDFDocuments/t/G/TBTN24/CHN1886.DOCX")</f>
      </c>
      <c r="P817" s="6">
        <f>HYPERLINK("https://docs.wto.org/imrd/directdoc.asp?DDFDocuments/u/G/TBTN24/CHN1886.DOCX", "https://docs.wto.org/imrd/directdoc.asp?DDFDocuments/u/G/TBTN24/CHN1886.DOCX")</f>
      </c>
      <c r="Q817" s="6">
        <f>HYPERLINK("https://docs.wto.org/imrd/directdoc.asp?DDFDocuments/v/G/TBTN24/CHN1886.DOCX", "https://docs.wto.org/imrd/directdoc.asp?DDFDocuments/v/G/TBTN24/CHN1886.DOCX")</f>
      </c>
    </row>
    <row r="818">
      <c r="A818" s="6" t="s">
        <v>2949</v>
      </c>
      <c r="B818" s="7">
        <v>45505</v>
      </c>
      <c r="C818" s="6">
        <f>HYPERLINK("https://eping.wto.org/en/Search?viewData= G/TBT/N/JAM/125"," G/TBT/N/JAM/125")</f>
      </c>
      <c r="D818" s="8" t="s">
        <v>2950</v>
      </c>
      <c r="E818" s="8" t="s">
        <v>2951</v>
      </c>
      <c r="F818" s="8" t="s">
        <v>2952</v>
      </c>
      <c r="G818" s="6" t="s">
        <v>2953</v>
      </c>
      <c r="H818" s="6" t="s">
        <v>40</v>
      </c>
      <c r="I818" s="6" t="s">
        <v>165</v>
      </c>
      <c r="J818" s="6" t="s">
        <v>40</v>
      </c>
      <c r="K818" s="6"/>
      <c r="L818" s="7">
        <v>45534</v>
      </c>
      <c r="M818" s="6" t="s">
        <v>25</v>
      </c>
      <c r="N818" s="8" t="s">
        <v>2954</v>
      </c>
      <c r="O818" s="6">
        <f>HYPERLINK("https://docs.wto.org/imrd/directdoc.asp?DDFDocuments/t/G/TBTN24/JAM125.DOCX", "https://docs.wto.org/imrd/directdoc.asp?DDFDocuments/t/G/TBTN24/JAM125.DOCX")</f>
      </c>
      <c r="P818" s="6">
        <f>HYPERLINK("https://docs.wto.org/imrd/directdoc.asp?DDFDocuments/u/G/TBTN24/JAM125.DOCX", "https://docs.wto.org/imrd/directdoc.asp?DDFDocuments/u/G/TBTN24/JAM125.DOCX")</f>
      </c>
      <c r="Q818" s="6">
        <f>HYPERLINK("https://docs.wto.org/imrd/directdoc.asp?DDFDocuments/v/G/TBTN24/JAM125.DOCX", "https://docs.wto.org/imrd/directdoc.asp?DDFDocuments/v/G/TBTN24/JAM125.DOCX")</f>
      </c>
    </row>
    <row r="819">
      <c r="A819" s="6" t="s">
        <v>866</v>
      </c>
      <c r="B819" s="7">
        <v>45505</v>
      </c>
      <c r="C819" s="6">
        <f>HYPERLINK("https://eping.wto.org/en/Search?viewData= G/SPS/N/IDN/150"," G/SPS/N/IDN/150")</f>
      </c>
      <c r="D819" s="8" t="s">
        <v>2955</v>
      </c>
      <c r="E819" s="8" t="s">
        <v>2956</v>
      </c>
      <c r="F819" s="8" t="s">
        <v>2957</v>
      </c>
      <c r="G819" s="6" t="s">
        <v>40</v>
      </c>
      <c r="H819" s="6" t="s">
        <v>40</v>
      </c>
      <c r="I819" s="6" t="s">
        <v>38</v>
      </c>
      <c r="J819" s="6" t="s">
        <v>39</v>
      </c>
      <c r="K819" s="6" t="s">
        <v>40</v>
      </c>
      <c r="L819" s="7">
        <v>45565</v>
      </c>
      <c r="M819" s="6" t="s">
        <v>25</v>
      </c>
      <c r="N819" s="8" t="s">
        <v>2958</v>
      </c>
      <c r="O819" s="6">
        <f>HYPERLINK("https://docs.wto.org/imrd/directdoc.asp?DDFDocuments/t/G/SPS/NIDN150.DOCX", "https://docs.wto.org/imrd/directdoc.asp?DDFDocuments/t/G/SPS/NIDN150.DOCX")</f>
      </c>
      <c r="P819" s="6">
        <f>HYPERLINK("https://docs.wto.org/imrd/directdoc.asp?DDFDocuments/u/G/SPS/NIDN150.DOCX", "https://docs.wto.org/imrd/directdoc.asp?DDFDocuments/u/G/SPS/NIDN150.DOCX")</f>
      </c>
      <c r="Q819" s="6">
        <f>HYPERLINK("https://docs.wto.org/imrd/directdoc.asp?DDFDocuments/v/G/SPS/NIDN150.DOCX", "https://docs.wto.org/imrd/directdoc.asp?DDFDocuments/v/G/SPS/NIDN150.DOCX")</f>
      </c>
    </row>
    <row r="820">
      <c r="A820" s="6" t="s">
        <v>89</v>
      </c>
      <c r="B820" s="7">
        <v>45505</v>
      </c>
      <c r="C820" s="6">
        <f>HYPERLINK("https://eping.wto.org/en/Search?viewData= G/TBT/N/ECU/522/Add.1"," G/TBT/N/ECU/522/Add.1")</f>
      </c>
      <c r="D820" s="8" t="s">
        <v>2959</v>
      </c>
      <c r="E820" s="8" t="s">
        <v>2960</v>
      </c>
      <c r="F820" s="8" t="s">
        <v>2961</v>
      </c>
      <c r="G820" s="6" t="s">
        <v>40</v>
      </c>
      <c r="H820" s="6" t="s">
        <v>1055</v>
      </c>
      <c r="I820" s="6" t="s">
        <v>1815</v>
      </c>
      <c r="J820" s="6" t="s">
        <v>154</v>
      </c>
      <c r="K820" s="6"/>
      <c r="L820" s="7" t="s">
        <v>40</v>
      </c>
      <c r="M820" s="6" t="s">
        <v>76</v>
      </c>
      <c r="N820" s="8" t="s">
        <v>2962</v>
      </c>
      <c r="O820" s="6">
        <f>HYPERLINK("https://docs.wto.org/imrd/directdoc.asp?DDFDocuments/t/G/TBTN23/ECU522A1.DOCX", "https://docs.wto.org/imrd/directdoc.asp?DDFDocuments/t/G/TBTN23/ECU522A1.DOCX")</f>
      </c>
      <c r="P820" s="6">
        <f>HYPERLINK("https://docs.wto.org/imrd/directdoc.asp?DDFDocuments/u/G/TBTN23/ECU522A1.DOCX", "https://docs.wto.org/imrd/directdoc.asp?DDFDocuments/u/G/TBTN23/ECU522A1.DOCX")</f>
      </c>
      <c r="Q820" s="6">
        <f>HYPERLINK("https://docs.wto.org/imrd/directdoc.asp?DDFDocuments/v/G/TBTN23/ECU522A1.DOCX", "https://docs.wto.org/imrd/directdoc.asp?DDFDocuments/v/G/TBTN23/ECU522A1.DOCX")</f>
      </c>
    </row>
    <row r="821">
      <c r="A821" s="6" t="s">
        <v>180</v>
      </c>
      <c r="B821" s="7">
        <v>45505</v>
      </c>
      <c r="C821" s="6">
        <f>HYPERLINK("https://eping.wto.org/en/Search?viewData= G/SPS/N/CRI/276/Add.1"," G/SPS/N/CRI/276/Add.1")</f>
      </c>
      <c r="D821" s="8" t="s">
        <v>2963</v>
      </c>
      <c r="E821" s="8" t="s">
        <v>2963</v>
      </c>
      <c r="F821" s="8" t="s">
        <v>2964</v>
      </c>
      <c r="G821" s="6" t="s">
        <v>183</v>
      </c>
      <c r="H821" s="6" t="s">
        <v>40</v>
      </c>
      <c r="I821" s="6" t="s">
        <v>184</v>
      </c>
      <c r="J821" s="6" t="s">
        <v>185</v>
      </c>
      <c r="K821" s="6"/>
      <c r="L821" s="7" t="s">
        <v>40</v>
      </c>
      <c r="M821" s="6" t="s">
        <v>76</v>
      </c>
      <c r="N821" s="8" t="s">
        <v>2965</v>
      </c>
      <c r="O821" s="6">
        <f>HYPERLINK("https://docs.wto.org/imrd/directdoc.asp?DDFDocuments/t/G/SPS/NCRI276A1.DOCX", "https://docs.wto.org/imrd/directdoc.asp?DDFDocuments/t/G/SPS/NCRI276A1.DOCX")</f>
      </c>
      <c r="P821" s="6">
        <f>HYPERLINK("https://docs.wto.org/imrd/directdoc.asp?DDFDocuments/u/G/SPS/NCRI276A1.DOCX", "https://docs.wto.org/imrd/directdoc.asp?DDFDocuments/u/G/SPS/NCRI276A1.DOCX")</f>
      </c>
      <c r="Q821" s="6">
        <f>HYPERLINK("https://docs.wto.org/imrd/directdoc.asp?DDFDocuments/v/G/SPS/NCRI276A1.DOCX", "https://docs.wto.org/imrd/directdoc.asp?DDFDocuments/v/G/SPS/NCRI276A1.DOCX")</f>
      </c>
    </row>
    <row r="822">
      <c r="A822" s="6" t="s">
        <v>2949</v>
      </c>
      <c r="B822" s="7">
        <v>45505</v>
      </c>
      <c r="C822" s="6">
        <f>HYPERLINK("https://eping.wto.org/en/Search?viewData= G/TBT/N/JAM/126"," G/TBT/N/JAM/126")</f>
      </c>
      <c r="D822" s="8" t="s">
        <v>2966</v>
      </c>
      <c r="E822" s="8" t="s">
        <v>2967</v>
      </c>
      <c r="F822" s="8" t="s">
        <v>2952</v>
      </c>
      <c r="G822" s="6" t="s">
        <v>2953</v>
      </c>
      <c r="H822" s="6" t="s">
        <v>40</v>
      </c>
      <c r="I822" s="6" t="s">
        <v>165</v>
      </c>
      <c r="J822" s="6" t="s">
        <v>40</v>
      </c>
      <c r="K822" s="6"/>
      <c r="L822" s="7">
        <v>45534</v>
      </c>
      <c r="M822" s="6" t="s">
        <v>25</v>
      </c>
      <c r="N822" s="8" t="s">
        <v>2968</v>
      </c>
      <c r="O822" s="6">
        <f>HYPERLINK("https://docs.wto.org/imrd/directdoc.asp?DDFDocuments/t/G/TBTN24/JAM126.DOCX", "https://docs.wto.org/imrd/directdoc.asp?DDFDocuments/t/G/TBTN24/JAM126.DOCX")</f>
      </c>
      <c r="P822" s="6">
        <f>HYPERLINK("https://docs.wto.org/imrd/directdoc.asp?DDFDocuments/u/G/TBTN24/JAM126.DOCX", "https://docs.wto.org/imrd/directdoc.asp?DDFDocuments/u/G/TBTN24/JAM126.DOCX")</f>
      </c>
      <c r="Q822" s="6">
        <f>HYPERLINK("https://docs.wto.org/imrd/directdoc.asp?DDFDocuments/v/G/TBTN24/JAM126.DOCX", "https://docs.wto.org/imrd/directdoc.asp?DDFDocuments/v/G/TBTN24/JAM126.DOCX")</f>
      </c>
    </row>
    <row r="823">
      <c r="A823" s="6" t="s">
        <v>515</v>
      </c>
      <c r="B823" s="7">
        <v>45505</v>
      </c>
      <c r="C823" s="6">
        <f>HYPERLINK("https://eping.wto.org/en/Search?viewData= G/SPS/N/EU/789"," G/SPS/N/EU/789")</f>
      </c>
      <c r="D823" s="8" t="s">
        <v>2969</v>
      </c>
      <c r="E823" s="8" t="s">
        <v>2970</v>
      </c>
      <c r="F823" s="8" t="s">
        <v>2971</v>
      </c>
      <c r="G823" s="6" t="s">
        <v>40</v>
      </c>
      <c r="H823" s="6" t="s">
        <v>40</v>
      </c>
      <c r="I823" s="6" t="s">
        <v>1725</v>
      </c>
      <c r="J823" s="6" t="s">
        <v>1295</v>
      </c>
      <c r="K823" s="6"/>
      <c r="L823" s="7" t="s">
        <v>40</v>
      </c>
      <c r="M823" s="6" t="s">
        <v>25</v>
      </c>
      <c r="N823" s="8" t="s">
        <v>2972</v>
      </c>
      <c r="O823" s="6">
        <f>HYPERLINK("https://docs.wto.org/imrd/directdoc.asp?DDFDocuments/t/G/SPS/NEU789.DOCX", "https://docs.wto.org/imrd/directdoc.asp?DDFDocuments/t/G/SPS/NEU789.DOCX")</f>
      </c>
      <c r="P823" s="6">
        <f>HYPERLINK("https://docs.wto.org/imrd/directdoc.asp?DDFDocuments/u/G/SPS/NEU789.DOCX", "https://docs.wto.org/imrd/directdoc.asp?DDFDocuments/u/G/SPS/NEU789.DOCX")</f>
      </c>
      <c r="Q823" s="6">
        <f>HYPERLINK("https://docs.wto.org/imrd/directdoc.asp?DDFDocuments/v/G/SPS/NEU789.DOCX", "https://docs.wto.org/imrd/directdoc.asp?DDFDocuments/v/G/SPS/NEU789.DOCX")</f>
      </c>
    </row>
    <row r="824">
      <c r="A824" s="6" t="s">
        <v>1076</v>
      </c>
      <c r="B824" s="7">
        <v>45505</v>
      </c>
      <c r="C824" s="6">
        <f>HYPERLINK("https://eping.wto.org/en/Search?viewData= G/TBT/N/CHN/1883"," G/TBT/N/CHN/1883")</f>
      </c>
      <c r="D824" s="8" t="s">
        <v>2973</v>
      </c>
      <c r="E824" s="8" t="s">
        <v>2974</v>
      </c>
      <c r="F824" s="8" t="s">
        <v>2975</v>
      </c>
      <c r="G824" s="6" t="s">
        <v>2976</v>
      </c>
      <c r="H824" s="6" t="s">
        <v>2819</v>
      </c>
      <c r="I824" s="6" t="s">
        <v>165</v>
      </c>
      <c r="J824" s="6" t="s">
        <v>40</v>
      </c>
      <c r="K824" s="6"/>
      <c r="L824" s="7">
        <v>45565</v>
      </c>
      <c r="M824" s="6" t="s">
        <v>25</v>
      </c>
      <c r="N824" s="8" t="s">
        <v>2977</v>
      </c>
      <c r="O824" s="6">
        <f>HYPERLINK("https://docs.wto.org/imrd/directdoc.asp?DDFDocuments/t/G/TBTN24/CHN1883.DOCX", "https://docs.wto.org/imrd/directdoc.asp?DDFDocuments/t/G/TBTN24/CHN1883.DOCX")</f>
      </c>
      <c r="P824" s="6">
        <f>HYPERLINK("https://docs.wto.org/imrd/directdoc.asp?DDFDocuments/u/G/TBTN24/CHN1883.DOCX", "https://docs.wto.org/imrd/directdoc.asp?DDFDocuments/u/G/TBTN24/CHN1883.DOCX")</f>
      </c>
      <c r="Q824" s="6">
        <f>HYPERLINK("https://docs.wto.org/imrd/directdoc.asp?DDFDocuments/v/G/TBTN24/CHN1883.DOCX", "https://docs.wto.org/imrd/directdoc.asp?DDFDocuments/v/G/TBTN24/CHN1883.DOCX")</f>
      </c>
    </row>
    <row r="825">
      <c r="A825" s="6" t="s">
        <v>1280</v>
      </c>
      <c r="B825" s="7">
        <v>45505</v>
      </c>
      <c r="C825" s="6">
        <f>HYPERLINK("https://eping.wto.org/en/Search?viewData= G/SPS/N/ALB/209"," G/SPS/N/ALB/209")</f>
      </c>
      <c r="D825" s="8" t="s">
        <v>2978</v>
      </c>
      <c r="E825" s="8" t="s">
        <v>2979</v>
      </c>
      <c r="F825" s="8" t="s">
        <v>2980</v>
      </c>
      <c r="G825" s="6" t="s">
        <v>40</v>
      </c>
      <c r="H825" s="6" t="s">
        <v>40</v>
      </c>
      <c r="I825" s="6" t="s">
        <v>852</v>
      </c>
      <c r="J825" s="6" t="s">
        <v>853</v>
      </c>
      <c r="K825" s="6" t="s">
        <v>40</v>
      </c>
      <c r="L825" s="7">
        <v>45565</v>
      </c>
      <c r="M825" s="6" t="s">
        <v>25</v>
      </c>
      <c r="N825" s="8" t="s">
        <v>2981</v>
      </c>
      <c r="O825" s="6">
        <f>HYPERLINK("https://docs.wto.org/imrd/directdoc.asp?DDFDocuments/t/G/SPS/NALB209.DOCX", "https://docs.wto.org/imrd/directdoc.asp?DDFDocuments/t/G/SPS/NALB209.DOCX")</f>
      </c>
      <c r="P825" s="6">
        <f>HYPERLINK("https://docs.wto.org/imrd/directdoc.asp?DDFDocuments/u/G/SPS/NALB209.DOCX", "https://docs.wto.org/imrd/directdoc.asp?DDFDocuments/u/G/SPS/NALB209.DOCX")</f>
      </c>
      <c r="Q825" s="6">
        <f>HYPERLINK("https://docs.wto.org/imrd/directdoc.asp?DDFDocuments/v/G/SPS/NALB209.DOCX", "https://docs.wto.org/imrd/directdoc.asp?DDFDocuments/v/G/SPS/NALB209.DOCX")</f>
      </c>
    </row>
    <row r="826">
      <c r="A826" s="6" t="s">
        <v>401</v>
      </c>
      <c r="B826" s="7">
        <v>45504</v>
      </c>
      <c r="C826" s="6">
        <f>HYPERLINK("https://eping.wto.org/en/Search?viewData= G/TBT/N/KOR/1220"," G/TBT/N/KOR/1220")</f>
      </c>
      <c r="D826" s="8" t="s">
        <v>2982</v>
      </c>
      <c r="E826" s="8" t="s">
        <v>2983</v>
      </c>
      <c r="F826" s="8" t="s">
        <v>2984</v>
      </c>
      <c r="G826" s="6" t="s">
        <v>40</v>
      </c>
      <c r="H826" s="6" t="s">
        <v>40</v>
      </c>
      <c r="I826" s="6" t="s">
        <v>2985</v>
      </c>
      <c r="J826" s="6" t="s">
        <v>40</v>
      </c>
      <c r="K826" s="6"/>
      <c r="L826" s="7">
        <v>45564</v>
      </c>
      <c r="M826" s="6" t="s">
        <v>25</v>
      </c>
      <c r="N826" s="8" t="s">
        <v>2986</v>
      </c>
      <c r="O826" s="6">
        <f>HYPERLINK("https://docs.wto.org/imrd/directdoc.asp?DDFDocuments/t/G/TBTN24/KOR1220.DOCX", "https://docs.wto.org/imrd/directdoc.asp?DDFDocuments/t/G/TBTN24/KOR1220.DOCX")</f>
      </c>
      <c r="P826" s="6">
        <f>HYPERLINK("https://docs.wto.org/imrd/directdoc.asp?DDFDocuments/u/G/TBTN24/KOR1220.DOCX", "https://docs.wto.org/imrd/directdoc.asp?DDFDocuments/u/G/TBTN24/KOR1220.DOCX")</f>
      </c>
      <c r="Q826" s="6">
        <f>HYPERLINK("https://docs.wto.org/imrd/directdoc.asp?DDFDocuments/v/G/TBTN24/KOR1220.DOCX", "https://docs.wto.org/imrd/directdoc.asp?DDFDocuments/v/G/TBTN24/KOR1220.DOCX")</f>
      </c>
    </row>
    <row r="827">
      <c r="A827" s="6" t="s">
        <v>584</v>
      </c>
      <c r="B827" s="7">
        <v>45504</v>
      </c>
      <c r="C827" s="6">
        <f>HYPERLINK("https://eping.wto.org/en/Search?viewData= G/TBT/N/GBR/74/Add.1"," G/TBT/N/GBR/74/Add.1")</f>
      </c>
      <c r="D827" s="8" t="s">
        <v>2987</v>
      </c>
      <c r="E827" s="8" t="s">
        <v>2988</v>
      </c>
      <c r="F827" s="8" t="s">
        <v>2989</v>
      </c>
      <c r="G827" s="6" t="s">
        <v>40</v>
      </c>
      <c r="H827" s="6" t="s">
        <v>2990</v>
      </c>
      <c r="I827" s="6" t="s">
        <v>2991</v>
      </c>
      <c r="J827" s="6" t="s">
        <v>40</v>
      </c>
      <c r="K827" s="6"/>
      <c r="L827" s="7" t="s">
        <v>40</v>
      </c>
      <c r="M827" s="6" t="s">
        <v>76</v>
      </c>
      <c r="N827" s="8" t="s">
        <v>2992</v>
      </c>
      <c r="O827" s="6">
        <f>HYPERLINK("https://docs.wto.org/imrd/directdoc.asp?DDFDocuments/t/G/TBTN24/GBR74A1.DOCX", "https://docs.wto.org/imrd/directdoc.asp?DDFDocuments/t/G/TBTN24/GBR74A1.DOCX")</f>
      </c>
      <c r="P827" s="6">
        <f>HYPERLINK("https://docs.wto.org/imrd/directdoc.asp?DDFDocuments/u/G/TBTN24/GBR74A1.DOCX", "https://docs.wto.org/imrd/directdoc.asp?DDFDocuments/u/G/TBTN24/GBR74A1.DOCX")</f>
      </c>
      <c r="Q827" s="6">
        <f>HYPERLINK("https://docs.wto.org/imrd/directdoc.asp?DDFDocuments/v/G/TBTN24/GBR74A1.DOCX", "https://docs.wto.org/imrd/directdoc.asp?DDFDocuments/v/G/TBTN24/GBR74A1.DOCX")</f>
      </c>
    </row>
    <row r="828">
      <c r="A828" s="6" t="s">
        <v>160</v>
      </c>
      <c r="B828" s="7">
        <v>45504</v>
      </c>
      <c r="C828" s="6">
        <f>HYPERLINK("https://eping.wto.org/en/Search?viewData= G/TBT/N/USA/2133"," G/TBT/N/USA/2133")</f>
      </c>
      <c r="D828" s="8" t="s">
        <v>2993</v>
      </c>
      <c r="E828" s="8" t="s">
        <v>2994</v>
      </c>
      <c r="F828" s="8" t="s">
        <v>2995</v>
      </c>
      <c r="G828" s="6" t="s">
        <v>40</v>
      </c>
      <c r="H828" s="6" t="s">
        <v>229</v>
      </c>
      <c r="I828" s="6" t="s">
        <v>213</v>
      </c>
      <c r="J828" s="6" t="s">
        <v>40</v>
      </c>
      <c r="K828" s="6"/>
      <c r="L828" s="7">
        <v>45588</v>
      </c>
      <c r="M828" s="6" t="s">
        <v>25</v>
      </c>
      <c r="N828" s="8" t="s">
        <v>2996</v>
      </c>
      <c r="O828" s="6">
        <f>HYPERLINK("https://docs.wto.org/imrd/directdoc.asp?DDFDocuments/t/G/TBTN24/USA2133.DOCX", "https://docs.wto.org/imrd/directdoc.asp?DDFDocuments/t/G/TBTN24/USA2133.DOCX")</f>
      </c>
      <c r="P828" s="6">
        <f>HYPERLINK("https://docs.wto.org/imrd/directdoc.asp?DDFDocuments/u/G/TBTN24/USA2133.DOCX", "https://docs.wto.org/imrd/directdoc.asp?DDFDocuments/u/G/TBTN24/USA2133.DOCX")</f>
      </c>
      <c r="Q828" s="6">
        <f>HYPERLINK("https://docs.wto.org/imrd/directdoc.asp?DDFDocuments/v/G/TBTN24/USA2133.DOCX", "https://docs.wto.org/imrd/directdoc.asp?DDFDocuments/v/G/TBTN24/USA2133.DOCX")</f>
      </c>
    </row>
    <row r="829">
      <c r="A829" s="6" t="s">
        <v>419</v>
      </c>
      <c r="B829" s="7">
        <v>45504</v>
      </c>
      <c r="C829" s="6">
        <f>HYPERLINK("https://eping.wto.org/en/Search?viewData= G/TBT/N/JPN/824"," G/TBT/N/JPN/824")</f>
      </c>
      <c r="D829" s="8" t="s">
        <v>2997</v>
      </c>
      <c r="E829" s="8" t="s">
        <v>2998</v>
      </c>
      <c r="F829" s="8" t="s">
        <v>2999</v>
      </c>
      <c r="G829" s="6" t="s">
        <v>3000</v>
      </c>
      <c r="H829" s="6" t="s">
        <v>40</v>
      </c>
      <c r="I829" s="6" t="s">
        <v>147</v>
      </c>
      <c r="J829" s="6" t="s">
        <v>40</v>
      </c>
      <c r="K829" s="6"/>
      <c r="L829" s="7">
        <v>45564</v>
      </c>
      <c r="M829" s="6" t="s">
        <v>25</v>
      </c>
      <c r="N829" s="8" t="s">
        <v>3001</v>
      </c>
      <c r="O829" s="6">
        <f>HYPERLINK("https://docs.wto.org/imrd/directdoc.asp?DDFDocuments/t/G/TBTN24/JPN824.DOCX", "https://docs.wto.org/imrd/directdoc.asp?DDFDocuments/t/G/TBTN24/JPN824.DOCX")</f>
      </c>
      <c r="P829" s="6">
        <f>HYPERLINK("https://docs.wto.org/imrd/directdoc.asp?DDFDocuments/u/G/TBTN24/JPN824.DOCX", "https://docs.wto.org/imrd/directdoc.asp?DDFDocuments/u/G/TBTN24/JPN824.DOCX")</f>
      </c>
      <c r="Q829" s="6">
        <f>HYPERLINK("https://docs.wto.org/imrd/directdoc.asp?DDFDocuments/v/G/TBTN24/JPN824.DOCX", "https://docs.wto.org/imrd/directdoc.asp?DDFDocuments/v/G/TBTN24/JPN824.DOCX")</f>
      </c>
    </row>
    <row r="830">
      <c r="A830" s="6" t="s">
        <v>322</v>
      </c>
      <c r="B830" s="7">
        <v>45504</v>
      </c>
      <c r="C830" s="6">
        <f>HYPERLINK("https://eping.wto.org/en/Search?viewData= G/TBT/N/TPKM/544"," G/TBT/N/TPKM/544")</f>
      </c>
      <c r="D830" s="8" t="s">
        <v>3002</v>
      </c>
      <c r="E830" s="8" t="s">
        <v>3003</v>
      </c>
      <c r="F830" s="8" t="s">
        <v>3004</v>
      </c>
      <c r="G830" s="6" t="s">
        <v>3005</v>
      </c>
      <c r="H830" s="6" t="s">
        <v>40</v>
      </c>
      <c r="I830" s="6" t="s">
        <v>213</v>
      </c>
      <c r="J830" s="6" t="s">
        <v>40</v>
      </c>
      <c r="K830" s="6"/>
      <c r="L830" s="7">
        <v>45564</v>
      </c>
      <c r="M830" s="6" t="s">
        <v>25</v>
      </c>
      <c r="N830" s="8" t="s">
        <v>3006</v>
      </c>
      <c r="O830" s="6">
        <f>HYPERLINK("https://docs.wto.org/imrd/directdoc.asp?DDFDocuments/t/G/TBTN24/TPKM544.DOCX", "https://docs.wto.org/imrd/directdoc.asp?DDFDocuments/t/G/TBTN24/TPKM544.DOCX")</f>
      </c>
      <c r="P830" s="6">
        <f>HYPERLINK("https://docs.wto.org/imrd/directdoc.asp?DDFDocuments/u/G/TBTN24/TPKM544.DOCX", "https://docs.wto.org/imrd/directdoc.asp?DDFDocuments/u/G/TBTN24/TPKM544.DOCX")</f>
      </c>
      <c r="Q830" s="6">
        <f>HYPERLINK("https://docs.wto.org/imrd/directdoc.asp?DDFDocuments/v/G/TBTN24/TPKM544.DOCX", "https://docs.wto.org/imrd/directdoc.asp?DDFDocuments/v/G/TBTN24/TPKM544.DOCX")</f>
      </c>
    </row>
    <row r="831">
      <c r="A831" s="6" t="s">
        <v>160</v>
      </c>
      <c r="B831" s="7">
        <v>45504</v>
      </c>
      <c r="C831" s="6">
        <f>HYPERLINK("https://eping.wto.org/en/Search?viewData= G/TBT/N/USA/1260/Rev.1/Add.2"," G/TBT/N/USA/1260/Rev.1/Add.2")</f>
      </c>
      <c r="D831" s="8" t="s">
        <v>3007</v>
      </c>
      <c r="E831" s="8" t="s">
        <v>3008</v>
      </c>
      <c r="F831" s="8" t="s">
        <v>3009</v>
      </c>
      <c r="G831" s="6" t="s">
        <v>40</v>
      </c>
      <c r="H831" s="6" t="s">
        <v>3010</v>
      </c>
      <c r="I831" s="6" t="s">
        <v>147</v>
      </c>
      <c r="J831" s="6" t="s">
        <v>40</v>
      </c>
      <c r="K831" s="6"/>
      <c r="L831" s="7" t="s">
        <v>40</v>
      </c>
      <c r="M831" s="6" t="s">
        <v>76</v>
      </c>
      <c r="N831" s="8" t="s">
        <v>3011</v>
      </c>
      <c r="O831" s="6">
        <f>HYPERLINK("https://docs.wto.org/imrd/directdoc.asp?DDFDocuments/t/G/TBTN17/USA1260R1A2.DOCX", "https://docs.wto.org/imrd/directdoc.asp?DDFDocuments/t/G/TBTN17/USA1260R1A2.DOCX")</f>
      </c>
      <c r="P831" s="6">
        <f>HYPERLINK("https://docs.wto.org/imrd/directdoc.asp?DDFDocuments/u/G/TBTN17/USA1260R1A2.DOCX", "https://docs.wto.org/imrd/directdoc.asp?DDFDocuments/u/G/TBTN17/USA1260R1A2.DOCX")</f>
      </c>
      <c r="Q831" s="6">
        <f>HYPERLINK("https://docs.wto.org/imrd/directdoc.asp?DDFDocuments/v/G/TBTN17/USA1260R1A2.DOCX", "https://docs.wto.org/imrd/directdoc.asp?DDFDocuments/v/G/TBTN17/USA1260R1A2.DOCX")</f>
      </c>
    </row>
    <row r="832">
      <c r="A832" s="6" t="s">
        <v>70</v>
      </c>
      <c r="B832" s="7">
        <v>45504</v>
      </c>
      <c r="C832" s="6">
        <f>HYPERLINK("https://eping.wto.org/en/Search?viewData= G/TBT/N/UKR/291/Add.1"," G/TBT/N/UKR/291/Add.1")</f>
      </c>
      <c r="D832" s="8" t="s">
        <v>3012</v>
      </c>
      <c r="E832" s="8" t="s">
        <v>3013</v>
      </c>
      <c r="F832" s="8" t="s">
        <v>3014</v>
      </c>
      <c r="G832" s="6" t="s">
        <v>40</v>
      </c>
      <c r="H832" s="6" t="s">
        <v>3015</v>
      </c>
      <c r="I832" s="6" t="s">
        <v>3016</v>
      </c>
      <c r="J832" s="6" t="s">
        <v>40</v>
      </c>
      <c r="K832" s="6"/>
      <c r="L832" s="7" t="s">
        <v>40</v>
      </c>
      <c r="M832" s="6" t="s">
        <v>76</v>
      </c>
      <c r="N832" s="8" t="s">
        <v>3017</v>
      </c>
      <c r="O832" s="6">
        <f>HYPERLINK("https://docs.wto.org/imrd/directdoc.asp?DDFDocuments/t/G/TBTN24/UKR291A1.DOCX", "https://docs.wto.org/imrd/directdoc.asp?DDFDocuments/t/G/TBTN24/UKR291A1.DOCX")</f>
      </c>
      <c r="P832" s="6">
        <f>HYPERLINK("https://docs.wto.org/imrd/directdoc.asp?DDFDocuments/u/G/TBTN24/UKR291A1.DOCX", "https://docs.wto.org/imrd/directdoc.asp?DDFDocuments/u/G/TBTN24/UKR291A1.DOCX")</f>
      </c>
      <c r="Q832" s="6">
        <f>HYPERLINK("https://docs.wto.org/imrd/directdoc.asp?DDFDocuments/v/G/TBTN24/UKR291A1.DOCX", "https://docs.wto.org/imrd/directdoc.asp?DDFDocuments/v/G/TBTN24/UKR291A1.DOCX")</f>
      </c>
    </row>
    <row r="833">
      <c r="A833" s="6" t="s">
        <v>358</v>
      </c>
      <c r="B833" s="7">
        <v>45504</v>
      </c>
      <c r="C833" s="6">
        <f>HYPERLINK("https://eping.wto.org/en/Search?viewData= G/SPS/N/NZL/773"," G/SPS/N/NZL/773")</f>
      </c>
      <c r="D833" s="8" t="s">
        <v>3018</v>
      </c>
      <c r="E833" s="8" t="s">
        <v>3019</v>
      </c>
      <c r="F833" s="8" t="s">
        <v>3020</v>
      </c>
      <c r="G833" s="6" t="s">
        <v>40</v>
      </c>
      <c r="H833" s="6" t="s">
        <v>40</v>
      </c>
      <c r="I833" s="6" t="s">
        <v>38</v>
      </c>
      <c r="J833" s="6" t="s">
        <v>60</v>
      </c>
      <c r="K833" s="6"/>
      <c r="L833" s="7">
        <v>45563</v>
      </c>
      <c r="M833" s="6" t="s">
        <v>25</v>
      </c>
      <c r="N833" s="8" t="s">
        <v>3021</v>
      </c>
      <c r="O833" s="6">
        <f>HYPERLINK("https://docs.wto.org/imrd/directdoc.asp?DDFDocuments/t/G/SPS/NNZL773.DOCX", "https://docs.wto.org/imrd/directdoc.asp?DDFDocuments/t/G/SPS/NNZL773.DOCX")</f>
      </c>
      <c r="P833" s="6">
        <f>HYPERLINK("https://docs.wto.org/imrd/directdoc.asp?DDFDocuments/u/G/SPS/NNZL773.DOCX", "https://docs.wto.org/imrd/directdoc.asp?DDFDocuments/u/G/SPS/NNZL773.DOCX")</f>
      </c>
      <c r="Q833" s="6">
        <f>HYPERLINK("https://docs.wto.org/imrd/directdoc.asp?DDFDocuments/v/G/SPS/NNZL773.DOCX", "https://docs.wto.org/imrd/directdoc.asp?DDFDocuments/v/G/SPS/NNZL773.DOCX")</f>
      </c>
    </row>
    <row r="834">
      <c r="A834" s="6" t="s">
        <v>160</v>
      </c>
      <c r="B834" s="7">
        <v>45504</v>
      </c>
      <c r="C834" s="6">
        <f>HYPERLINK("https://eping.wto.org/en/Search?viewData= G/TBT/N/USA/2041/Add.4"," G/TBT/N/USA/2041/Add.4")</f>
      </c>
      <c r="D834" s="8" t="s">
        <v>2111</v>
      </c>
      <c r="E834" s="8" t="s">
        <v>3022</v>
      </c>
      <c r="F834" s="8" t="s">
        <v>2113</v>
      </c>
      <c r="G834" s="6" t="s">
        <v>40</v>
      </c>
      <c r="H834" s="6" t="s">
        <v>2114</v>
      </c>
      <c r="I834" s="6" t="s">
        <v>337</v>
      </c>
      <c r="J834" s="6" t="s">
        <v>148</v>
      </c>
      <c r="K834" s="6"/>
      <c r="L834" s="7" t="s">
        <v>40</v>
      </c>
      <c r="M834" s="6" t="s">
        <v>76</v>
      </c>
      <c r="N834" s="8" t="s">
        <v>3023</v>
      </c>
      <c r="O834" s="6">
        <f>HYPERLINK("https://docs.wto.org/imrd/directdoc.asp?DDFDocuments/t/G/TBTN23/USA2041A4.DOCX", "https://docs.wto.org/imrd/directdoc.asp?DDFDocuments/t/G/TBTN23/USA2041A4.DOCX")</f>
      </c>
      <c r="P834" s="6">
        <f>HYPERLINK("https://docs.wto.org/imrd/directdoc.asp?DDFDocuments/u/G/TBTN23/USA2041A4.DOCX", "https://docs.wto.org/imrd/directdoc.asp?DDFDocuments/u/G/TBTN23/USA2041A4.DOCX")</f>
      </c>
      <c r="Q834" s="6">
        <f>HYPERLINK("https://docs.wto.org/imrd/directdoc.asp?DDFDocuments/v/G/TBTN23/USA2041A4.DOCX", "https://docs.wto.org/imrd/directdoc.asp?DDFDocuments/v/G/TBTN23/USA2041A4.DOCX")</f>
      </c>
    </row>
    <row r="835">
      <c r="A835" s="6" t="s">
        <v>129</v>
      </c>
      <c r="B835" s="7">
        <v>45504</v>
      </c>
      <c r="C835" s="6">
        <f>HYPERLINK("https://eping.wto.org/en/Search?viewData= G/TBT/N/IND/335"," G/TBT/N/IND/335")</f>
      </c>
      <c r="D835" s="8" t="s">
        <v>3024</v>
      </c>
      <c r="E835" s="8" t="s">
        <v>3025</v>
      </c>
      <c r="F835" s="8" t="s">
        <v>3026</v>
      </c>
      <c r="G835" s="6" t="s">
        <v>40</v>
      </c>
      <c r="H835" s="6" t="s">
        <v>40</v>
      </c>
      <c r="I835" s="6" t="s">
        <v>3027</v>
      </c>
      <c r="J835" s="6" t="s">
        <v>40</v>
      </c>
      <c r="K835" s="6"/>
      <c r="L835" s="7">
        <v>45564</v>
      </c>
      <c r="M835" s="6" t="s">
        <v>25</v>
      </c>
      <c r="N835" s="8" t="s">
        <v>3028</v>
      </c>
      <c r="O835" s="6">
        <f>HYPERLINK("https://docs.wto.org/imrd/directdoc.asp?DDFDocuments/t/G/TBTN24/IND335.DOCX", "https://docs.wto.org/imrd/directdoc.asp?DDFDocuments/t/G/TBTN24/IND335.DOCX")</f>
      </c>
      <c r="P835" s="6">
        <f>HYPERLINK("https://docs.wto.org/imrd/directdoc.asp?DDFDocuments/u/G/TBTN24/IND335.DOCX", "https://docs.wto.org/imrd/directdoc.asp?DDFDocuments/u/G/TBTN24/IND335.DOCX")</f>
      </c>
      <c r="Q835" s="6">
        <f>HYPERLINK("https://docs.wto.org/imrd/directdoc.asp?DDFDocuments/v/G/TBTN24/IND335.DOCX", "https://docs.wto.org/imrd/directdoc.asp?DDFDocuments/v/G/TBTN24/IND335.DOCX")</f>
      </c>
    </row>
    <row r="836">
      <c r="A836" s="6" t="s">
        <v>348</v>
      </c>
      <c r="B836" s="7">
        <v>45504</v>
      </c>
      <c r="C836" s="6">
        <f>HYPERLINK("https://eping.wto.org/en/Search?viewData= G/SPS/N/RUS/287"," G/SPS/N/RUS/287")</f>
      </c>
      <c r="D836" s="8" t="s">
        <v>3029</v>
      </c>
      <c r="E836" s="8" t="s">
        <v>3030</v>
      </c>
      <c r="F836" s="8" t="s">
        <v>3031</v>
      </c>
      <c r="G836" s="6" t="s">
        <v>538</v>
      </c>
      <c r="H836" s="6" t="s">
        <v>40</v>
      </c>
      <c r="I836" s="6" t="s">
        <v>353</v>
      </c>
      <c r="J836" s="6" t="s">
        <v>539</v>
      </c>
      <c r="K836" s="6" t="s">
        <v>829</v>
      </c>
      <c r="L836" s="7" t="s">
        <v>40</v>
      </c>
      <c r="M836" s="6" t="s">
        <v>356</v>
      </c>
      <c r="N836" s="8" t="s">
        <v>3032</v>
      </c>
      <c r="O836" s="6">
        <f>HYPERLINK("https://docs.wto.org/imrd/directdoc.asp?DDFDocuments/t/G/SPS/NRUS287.DOCX", "https://docs.wto.org/imrd/directdoc.asp?DDFDocuments/t/G/SPS/NRUS287.DOCX")</f>
      </c>
      <c r="P836" s="6">
        <f>HYPERLINK("https://docs.wto.org/imrd/directdoc.asp?DDFDocuments/u/G/SPS/NRUS287.DOCX", "https://docs.wto.org/imrd/directdoc.asp?DDFDocuments/u/G/SPS/NRUS287.DOCX")</f>
      </c>
      <c r="Q836" s="6">
        <f>HYPERLINK("https://docs.wto.org/imrd/directdoc.asp?DDFDocuments/v/G/SPS/NRUS287.DOCX", "https://docs.wto.org/imrd/directdoc.asp?DDFDocuments/v/G/SPS/NRUS287.DOCX")</f>
      </c>
    </row>
    <row r="837">
      <c r="A837" s="6" t="s">
        <v>1688</v>
      </c>
      <c r="B837" s="7">
        <v>45504</v>
      </c>
      <c r="C837" s="6">
        <f>HYPERLINK("https://eping.wto.org/en/Search?viewData= G/TBT/N/THA/723/Add.1"," G/TBT/N/THA/723/Add.1")</f>
      </c>
      <c r="D837" s="8" t="s">
        <v>3033</v>
      </c>
      <c r="E837" s="8" t="s">
        <v>3034</v>
      </c>
      <c r="F837" s="8" t="s">
        <v>3035</v>
      </c>
      <c r="G837" s="6" t="s">
        <v>40</v>
      </c>
      <c r="H837" s="6" t="s">
        <v>3036</v>
      </c>
      <c r="I837" s="6" t="s">
        <v>191</v>
      </c>
      <c r="J837" s="6" t="s">
        <v>122</v>
      </c>
      <c r="K837" s="6"/>
      <c r="L837" s="7" t="s">
        <v>40</v>
      </c>
      <c r="M837" s="6" t="s">
        <v>76</v>
      </c>
      <c r="N837" s="8" t="s">
        <v>3037</v>
      </c>
      <c r="O837" s="6">
        <f>HYPERLINK("https://docs.wto.org/imrd/directdoc.asp?DDFDocuments/t/G/TBTN24/THA723A1.DOCX", "https://docs.wto.org/imrd/directdoc.asp?DDFDocuments/t/G/TBTN24/THA723A1.DOCX")</f>
      </c>
      <c r="P837" s="6">
        <f>HYPERLINK("https://docs.wto.org/imrd/directdoc.asp?DDFDocuments/u/G/TBTN24/THA723A1.DOCX", "https://docs.wto.org/imrd/directdoc.asp?DDFDocuments/u/G/TBTN24/THA723A1.DOCX")</f>
      </c>
      <c r="Q837" s="6">
        <f>HYPERLINK("https://docs.wto.org/imrd/directdoc.asp?DDFDocuments/v/G/TBTN24/THA723A1.DOCX", "https://docs.wto.org/imrd/directdoc.asp?DDFDocuments/v/G/TBTN24/THA723A1.DOCX")</f>
      </c>
    </row>
    <row r="838">
      <c r="A838" s="6" t="s">
        <v>129</v>
      </c>
      <c r="B838" s="7">
        <v>45504</v>
      </c>
      <c r="C838" s="6">
        <f>HYPERLINK("https://eping.wto.org/en/Search?viewData= G/TBT/N/IND/336"," G/TBT/N/IND/336")</f>
      </c>
      <c r="D838" s="8" t="s">
        <v>3038</v>
      </c>
      <c r="E838" s="8" t="s">
        <v>3039</v>
      </c>
      <c r="F838" s="8" t="s">
        <v>3040</v>
      </c>
      <c r="G838" s="6" t="s">
        <v>40</v>
      </c>
      <c r="H838" s="6" t="s">
        <v>40</v>
      </c>
      <c r="I838" s="6" t="s">
        <v>3027</v>
      </c>
      <c r="J838" s="6" t="s">
        <v>40</v>
      </c>
      <c r="K838" s="6"/>
      <c r="L838" s="7">
        <v>45564</v>
      </c>
      <c r="M838" s="6" t="s">
        <v>25</v>
      </c>
      <c r="N838" s="8" t="s">
        <v>3041</v>
      </c>
      <c r="O838" s="6">
        <f>HYPERLINK("https://docs.wto.org/imrd/directdoc.asp?DDFDocuments/t/G/TBTN24/IND336.DOCX", "https://docs.wto.org/imrd/directdoc.asp?DDFDocuments/t/G/TBTN24/IND336.DOCX")</f>
      </c>
      <c r="P838" s="6">
        <f>HYPERLINK("https://docs.wto.org/imrd/directdoc.asp?DDFDocuments/u/G/TBTN24/IND336.DOCX", "https://docs.wto.org/imrd/directdoc.asp?DDFDocuments/u/G/TBTN24/IND336.DOCX")</f>
      </c>
      <c r="Q838" s="6">
        <f>HYPERLINK("https://docs.wto.org/imrd/directdoc.asp?DDFDocuments/v/G/TBTN24/IND336.DOCX", "https://docs.wto.org/imrd/directdoc.asp?DDFDocuments/v/G/TBTN24/IND336.DOCX")</f>
      </c>
    </row>
    <row r="839">
      <c r="A839" s="6" t="s">
        <v>2229</v>
      </c>
      <c r="B839" s="7">
        <v>45504</v>
      </c>
      <c r="C839" s="6">
        <f>HYPERLINK("https://eping.wto.org/en/Search?viewData= G/SPS/N/PRY/37"," G/SPS/N/PRY/37")</f>
      </c>
      <c r="D839" s="8" t="s">
        <v>3042</v>
      </c>
      <c r="E839" s="8" t="s">
        <v>3043</v>
      </c>
      <c r="F839" s="8" t="s">
        <v>2310</v>
      </c>
      <c r="G839" s="6" t="s">
        <v>1529</v>
      </c>
      <c r="H839" s="6" t="s">
        <v>40</v>
      </c>
      <c r="I839" s="6" t="s">
        <v>38</v>
      </c>
      <c r="J839" s="6" t="s">
        <v>103</v>
      </c>
      <c r="K839" s="6" t="s">
        <v>40</v>
      </c>
      <c r="L839" s="7" t="s">
        <v>40</v>
      </c>
      <c r="M839" s="6" t="s">
        <v>25</v>
      </c>
      <c r="N839" s="6"/>
      <c r="O839" s="6">
        <f>HYPERLINK("https://docs.wto.org/imrd/directdoc.asp?DDFDocuments/t/G/SPS/NPRY37.DOCX", "https://docs.wto.org/imrd/directdoc.asp?DDFDocuments/t/G/SPS/NPRY37.DOCX")</f>
      </c>
      <c r="P839" s="6">
        <f>HYPERLINK("https://docs.wto.org/imrd/directdoc.asp?DDFDocuments/u/G/SPS/NPRY37.DOCX", "https://docs.wto.org/imrd/directdoc.asp?DDFDocuments/u/G/SPS/NPRY37.DOCX")</f>
      </c>
      <c r="Q839" s="6">
        <f>HYPERLINK("https://docs.wto.org/imrd/directdoc.asp?DDFDocuments/v/G/SPS/NPRY37.DOCX", "https://docs.wto.org/imrd/directdoc.asp?DDFDocuments/v/G/SPS/NPRY37.DOCX")</f>
      </c>
    </row>
    <row r="840">
      <c r="A840" s="6" t="s">
        <v>70</v>
      </c>
      <c r="B840" s="7">
        <v>45504</v>
      </c>
      <c r="C840" s="6">
        <f>HYPERLINK("https://eping.wto.org/en/Search?viewData= G/TBT/N/UKR/298/Add.1"," G/TBT/N/UKR/298/Add.1")</f>
      </c>
      <c r="D840" s="8" t="s">
        <v>3044</v>
      </c>
      <c r="E840" s="8" t="s">
        <v>3045</v>
      </c>
      <c r="F840" s="8" t="s">
        <v>3046</v>
      </c>
      <c r="G840" s="6" t="s">
        <v>3047</v>
      </c>
      <c r="H840" s="6" t="s">
        <v>3048</v>
      </c>
      <c r="I840" s="6" t="s">
        <v>3049</v>
      </c>
      <c r="J840" s="6" t="s">
        <v>40</v>
      </c>
      <c r="K840" s="6"/>
      <c r="L840" s="7" t="s">
        <v>40</v>
      </c>
      <c r="M840" s="6" t="s">
        <v>76</v>
      </c>
      <c r="N840" s="8" t="s">
        <v>3050</v>
      </c>
      <c r="O840" s="6">
        <f>HYPERLINK("https://docs.wto.org/imrd/directdoc.asp?DDFDocuments/t/G/TBTN24/UKR298A1.DOCX", "https://docs.wto.org/imrd/directdoc.asp?DDFDocuments/t/G/TBTN24/UKR298A1.DOCX")</f>
      </c>
      <c r="P840" s="6">
        <f>HYPERLINK("https://docs.wto.org/imrd/directdoc.asp?DDFDocuments/u/G/TBTN24/UKR298A1.DOCX", "https://docs.wto.org/imrd/directdoc.asp?DDFDocuments/u/G/TBTN24/UKR298A1.DOCX")</f>
      </c>
      <c r="Q840" s="6">
        <f>HYPERLINK("https://docs.wto.org/imrd/directdoc.asp?DDFDocuments/v/G/TBTN24/UKR298A1.DOCX", "https://docs.wto.org/imrd/directdoc.asp?DDFDocuments/v/G/TBTN24/UKR298A1.DOCX")</f>
      </c>
    </row>
    <row r="841">
      <c r="A841" s="6" t="s">
        <v>129</v>
      </c>
      <c r="B841" s="7">
        <v>45504</v>
      </c>
      <c r="C841" s="6">
        <f>HYPERLINK("https://eping.wto.org/en/Search?viewData= G/TBT/N/IND/337"," G/TBT/N/IND/337")</f>
      </c>
      <c r="D841" s="8" t="s">
        <v>3051</v>
      </c>
      <c r="E841" s="8" t="s">
        <v>3052</v>
      </c>
      <c r="F841" s="8" t="s">
        <v>3053</v>
      </c>
      <c r="G841" s="6" t="s">
        <v>40</v>
      </c>
      <c r="H841" s="6" t="s">
        <v>40</v>
      </c>
      <c r="I841" s="6" t="s">
        <v>3054</v>
      </c>
      <c r="J841" s="6" t="s">
        <v>24</v>
      </c>
      <c r="K841" s="6"/>
      <c r="L841" s="7">
        <v>45564</v>
      </c>
      <c r="M841" s="6" t="s">
        <v>25</v>
      </c>
      <c r="N841" s="8" t="s">
        <v>3055</v>
      </c>
      <c r="O841" s="6">
        <f>HYPERLINK("https://docs.wto.org/imrd/directdoc.asp?DDFDocuments/t/G/TBTN24/IND337.DOCX", "https://docs.wto.org/imrd/directdoc.asp?DDFDocuments/t/G/TBTN24/IND337.DOCX")</f>
      </c>
      <c r="P841" s="6">
        <f>HYPERLINK("https://docs.wto.org/imrd/directdoc.asp?DDFDocuments/u/G/TBTN24/IND337.DOCX", "https://docs.wto.org/imrd/directdoc.asp?DDFDocuments/u/G/TBTN24/IND337.DOCX")</f>
      </c>
      <c r="Q841" s="6">
        <f>HYPERLINK("https://docs.wto.org/imrd/directdoc.asp?DDFDocuments/v/G/TBTN24/IND337.DOCX", "https://docs.wto.org/imrd/directdoc.asp?DDFDocuments/v/G/TBTN24/IND337.DOCX")</f>
      </c>
    </row>
    <row r="842">
      <c r="A842" s="6" t="s">
        <v>160</v>
      </c>
      <c r="B842" s="7">
        <v>45504</v>
      </c>
      <c r="C842" s="6">
        <f>HYPERLINK("https://eping.wto.org/en/Search?viewData= G/TBT/N/USA/2074/Add.3"," G/TBT/N/USA/2074/Add.3")</f>
      </c>
      <c r="D842" s="8" t="s">
        <v>3056</v>
      </c>
      <c r="E842" s="8" t="s">
        <v>3057</v>
      </c>
      <c r="F842" s="8" t="s">
        <v>3058</v>
      </c>
      <c r="G842" s="6" t="s">
        <v>40</v>
      </c>
      <c r="H842" s="6" t="s">
        <v>3059</v>
      </c>
      <c r="I842" s="6" t="s">
        <v>3060</v>
      </c>
      <c r="J842" s="6" t="s">
        <v>40</v>
      </c>
      <c r="K842" s="6"/>
      <c r="L842" s="7" t="s">
        <v>40</v>
      </c>
      <c r="M842" s="6" t="s">
        <v>76</v>
      </c>
      <c r="N842" s="8" t="s">
        <v>3061</v>
      </c>
      <c r="O842" s="6">
        <f>HYPERLINK("https://docs.wto.org/imrd/directdoc.asp?DDFDocuments/t/G/TBTN23/USA2074A3.DOCX", "https://docs.wto.org/imrd/directdoc.asp?DDFDocuments/t/G/TBTN23/USA2074A3.DOCX")</f>
      </c>
      <c r="P842" s="6">
        <f>HYPERLINK("https://docs.wto.org/imrd/directdoc.asp?DDFDocuments/u/G/TBTN23/USA2074A3.DOCX", "https://docs.wto.org/imrd/directdoc.asp?DDFDocuments/u/G/TBTN23/USA2074A3.DOCX")</f>
      </c>
      <c r="Q842" s="6">
        <f>HYPERLINK("https://docs.wto.org/imrd/directdoc.asp?DDFDocuments/v/G/TBTN23/USA2074A3.DOCX", "https://docs.wto.org/imrd/directdoc.asp?DDFDocuments/v/G/TBTN23/USA2074A3.DOCX")</f>
      </c>
    </row>
    <row r="843">
      <c r="A843" s="6" t="s">
        <v>974</v>
      </c>
      <c r="B843" s="7">
        <v>45504</v>
      </c>
      <c r="C843" s="6">
        <f>HYPERLINK("https://eping.wto.org/en/Search?viewData= G/TBT/N/KHM/23/Add.1"," G/TBT/N/KHM/23/Add.1")</f>
      </c>
      <c r="D843" s="8" t="s">
        <v>3062</v>
      </c>
      <c r="E843" s="8" t="s">
        <v>3063</v>
      </c>
      <c r="F843" s="8" t="s">
        <v>977</v>
      </c>
      <c r="G843" s="6" t="s">
        <v>978</v>
      </c>
      <c r="H843" s="6" t="s">
        <v>545</v>
      </c>
      <c r="I843" s="6" t="s">
        <v>147</v>
      </c>
      <c r="J843" s="6" t="s">
        <v>40</v>
      </c>
      <c r="K843" s="6"/>
      <c r="L843" s="7">
        <v>45534</v>
      </c>
      <c r="M843" s="6" t="s">
        <v>76</v>
      </c>
      <c r="N843" s="6"/>
      <c r="O843" s="6">
        <f>HYPERLINK("https://docs.wto.org/imrd/directdoc.asp?DDFDocuments/t/G/TBTN24/KHM23A1.DOCX", "https://docs.wto.org/imrd/directdoc.asp?DDFDocuments/t/G/TBTN24/KHM23A1.DOCX")</f>
      </c>
      <c r="P843" s="6">
        <f>HYPERLINK("https://docs.wto.org/imrd/directdoc.asp?DDFDocuments/u/G/TBTN24/KHM23A1.DOCX", "https://docs.wto.org/imrd/directdoc.asp?DDFDocuments/u/G/TBTN24/KHM23A1.DOCX")</f>
      </c>
      <c r="Q843" s="6">
        <f>HYPERLINK("https://docs.wto.org/imrd/directdoc.asp?DDFDocuments/v/G/TBTN24/KHM23A1.DOCX", "https://docs.wto.org/imrd/directdoc.asp?DDFDocuments/v/G/TBTN24/KHM23A1.DOCX")</f>
      </c>
    </row>
    <row r="844">
      <c r="A844" s="6" t="s">
        <v>1688</v>
      </c>
      <c r="B844" s="7">
        <v>45504</v>
      </c>
      <c r="C844" s="6">
        <f>HYPERLINK("https://eping.wto.org/en/Search?viewData= G/TBT/N/THA/724/Add.1"," G/TBT/N/THA/724/Add.1")</f>
      </c>
      <c r="D844" s="8" t="s">
        <v>3064</v>
      </c>
      <c r="E844" s="8" t="s">
        <v>3065</v>
      </c>
      <c r="F844" s="8" t="s">
        <v>3066</v>
      </c>
      <c r="G844" s="6" t="s">
        <v>3067</v>
      </c>
      <c r="H844" s="6" t="s">
        <v>40</v>
      </c>
      <c r="I844" s="6" t="s">
        <v>191</v>
      </c>
      <c r="J844" s="6" t="s">
        <v>122</v>
      </c>
      <c r="K844" s="6"/>
      <c r="L844" s="7" t="s">
        <v>40</v>
      </c>
      <c r="M844" s="6" t="s">
        <v>76</v>
      </c>
      <c r="N844" s="8" t="s">
        <v>3068</v>
      </c>
      <c r="O844" s="6">
        <f>HYPERLINK("https://docs.wto.org/imrd/directdoc.asp?DDFDocuments/t/G/TBTN24/THA724A1.DOCX", "https://docs.wto.org/imrd/directdoc.asp?DDFDocuments/t/G/TBTN24/THA724A1.DOCX")</f>
      </c>
      <c r="P844" s="6">
        <f>HYPERLINK("https://docs.wto.org/imrd/directdoc.asp?DDFDocuments/u/G/TBTN24/THA724A1.DOCX", "https://docs.wto.org/imrd/directdoc.asp?DDFDocuments/u/G/TBTN24/THA724A1.DOCX")</f>
      </c>
      <c r="Q844" s="6">
        <f>HYPERLINK("https://docs.wto.org/imrd/directdoc.asp?DDFDocuments/v/G/TBTN24/THA724A1.DOCX", "https://docs.wto.org/imrd/directdoc.asp?DDFDocuments/v/G/TBTN24/THA724A1.DOCX")</f>
      </c>
    </row>
    <row r="845">
      <c r="A845" s="6" t="s">
        <v>160</v>
      </c>
      <c r="B845" s="7">
        <v>45504</v>
      </c>
      <c r="C845" s="6">
        <f>HYPERLINK("https://eping.wto.org/en/Search?viewData= G/TBT/N/USA/1974/Add.2/Corr.1"," G/TBT/N/USA/1974/Add.2/Corr.1")</f>
      </c>
      <c r="D845" s="8" t="s">
        <v>3069</v>
      </c>
      <c r="E845" s="8" t="s">
        <v>3070</v>
      </c>
      <c r="F845" s="8" t="s">
        <v>3071</v>
      </c>
      <c r="G845" s="6" t="s">
        <v>40</v>
      </c>
      <c r="H845" s="6" t="s">
        <v>3072</v>
      </c>
      <c r="I845" s="6" t="s">
        <v>213</v>
      </c>
      <c r="J845" s="6" t="s">
        <v>40</v>
      </c>
      <c r="K845" s="6"/>
      <c r="L845" s="7" t="s">
        <v>40</v>
      </c>
      <c r="M845" s="6" t="s">
        <v>224</v>
      </c>
      <c r="N845" s="8" t="s">
        <v>3073</v>
      </c>
      <c r="O845" s="6">
        <f>HYPERLINK("https://docs.wto.org/imrd/directdoc.asp?DDFDocuments/t/G/TBTN23/USA1974A2C1.DOCX", "https://docs.wto.org/imrd/directdoc.asp?DDFDocuments/t/G/TBTN23/USA1974A2C1.DOCX")</f>
      </c>
      <c r="P845" s="6">
        <f>HYPERLINK("https://docs.wto.org/imrd/directdoc.asp?DDFDocuments/u/G/TBTN23/USA1974A2C1.DOCX", "https://docs.wto.org/imrd/directdoc.asp?DDFDocuments/u/G/TBTN23/USA1974A2C1.DOCX")</f>
      </c>
      <c r="Q845" s="6">
        <f>HYPERLINK("https://docs.wto.org/imrd/directdoc.asp?DDFDocuments/v/G/TBTN23/USA1974A2C1.DOCX", "https://docs.wto.org/imrd/directdoc.asp?DDFDocuments/v/G/TBTN23/USA1974A2C1.DOCX")</f>
      </c>
    </row>
    <row r="846">
      <c r="A846" s="6" t="s">
        <v>129</v>
      </c>
      <c r="B846" s="7">
        <v>45504</v>
      </c>
      <c r="C846" s="6">
        <f>HYPERLINK("https://eping.wto.org/en/Search?viewData= G/TBT/N/IND/331/Add.1"," G/TBT/N/IND/331/Add.1")</f>
      </c>
      <c r="D846" s="8" t="s">
        <v>3074</v>
      </c>
      <c r="E846" s="8" t="s">
        <v>40</v>
      </c>
      <c r="F846" s="8" t="s">
        <v>3075</v>
      </c>
      <c r="G846" s="6" t="s">
        <v>3076</v>
      </c>
      <c r="H846" s="6" t="s">
        <v>40</v>
      </c>
      <c r="I846" s="6" t="s">
        <v>213</v>
      </c>
      <c r="J846" s="6" t="s">
        <v>40</v>
      </c>
      <c r="K846" s="6"/>
      <c r="L846" s="7" t="s">
        <v>40</v>
      </c>
      <c r="M846" s="6" t="s">
        <v>76</v>
      </c>
      <c r="N846" s="8" t="s">
        <v>3077</v>
      </c>
      <c r="O846" s="6">
        <f>HYPERLINK("https://docs.wto.org/imrd/directdoc.asp?DDFDocuments/t/G/TBTN24/IND331A1.DOCX", "https://docs.wto.org/imrd/directdoc.asp?DDFDocuments/t/G/TBTN24/IND331A1.DOCX")</f>
      </c>
      <c r="P846" s="6">
        <f>HYPERLINK("https://docs.wto.org/imrd/directdoc.asp?DDFDocuments/u/G/TBTN24/IND331A1.DOCX", "https://docs.wto.org/imrd/directdoc.asp?DDFDocuments/u/G/TBTN24/IND331A1.DOCX")</f>
      </c>
      <c r="Q846" s="6">
        <f>HYPERLINK("https://docs.wto.org/imrd/directdoc.asp?DDFDocuments/v/G/TBTN24/IND331A1.DOCX", "https://docs.wto.org/imrd/directdoc.asp?DDFDocuments/v/G/TBTN24/IND331A1.DOCX")</f>
      </c>
    </row>
    <row r="847">
      <c r="A847" s="6" t="s">
        <v>437</v>
      </c>
      <c r="B847" s="7">
        <v>45504</v>
      </c>
      <c r="C847" s="6">
        <f>HYPERLINK("https://eping.wto.org/en/Search?viewData= G/TBT/N/DOM/232/Add.1/Rev.1"," G/TBT/N/DOM/232/Add.1/Rev.1")</f>
      </c>
      <c r="D847" s="8" t="s">
        <v>3078</v>
      </c>
      <c r="E847" s="8" t="s">
        <v>3079</v>
      </c>
      <c r="F847" s="8" t="s">
        <v>3080</v>
      </c>
      <c r="G847" s="6" t="s">
        <v>3081</v>
      </c>
      <c r="H847" s="6" t="s">
        <v>3082</v>
      </c>
      <c r="I847" s="6" t="s">
        <v>3083</v>
      </c>
      <c r="J847" s="6" t="s">
        <v>178</v>
      </c>
      <c r="K847" s="6"/>
      <c r="L847" s="7">
        <v>45564</v>
      </c>
      <c r="M847" s="6" t="s">
        <v>214</v>
      </c>
      <c r="N847" s="8" t="s">
        <v>3084</v>
      </c>
      <c r="O847" s="6">
        <f>HYPERLINK("https://docs.wto.org/imrd/directdoc.asp?DDFDocuments/t/G/TBTN21/DOM232A1R1.DOCX", "https://docs.wto.org/imrd/directdoc.asp?DDFDocuments/t/G/TBTN21/DOM232A1R1.DOCX")</f>
      </c>
      <c r="P847" s="6">
        <f>HYPERLINK("https://docs.wto.org/imrd/directdoc.asp?DDFDocuments/u/G/TBTN21/DOM232A1R1.DOCX", "https://docs.wto.org/imrd/directdoc.asp?DDFDocuments/u/G/TBTN21/DOM232A1R1.DOCX")</f>
      </c>
      <c r="Q847" s="6">
        <f>HYPERLINK("https://docs.wto.org/imrd/directdoc.asp?DDFDocuments/v/G/TBTN21/DOM232A1R1.DOCX", "https://docs.wto.org/imrd/directdoc.asp?DDFDocuments/v/G/TBTN21/DOM232A1R1.DOCX")</f>
      </c>
    </row>
    <row r="848">
      <c r="A848" s="6" t="s">
        <v>70</v>
      </c>
      <c r="B848" s="7">
        <v>45504</v>
      </c>
      <c r="C848" s="6">
        <f>HYPERLINK("https://eping.wto.org/en/Search?viewData= G/TBT/N/UKR/278/Add.1"," G/TBT/N/UKR/278/Add.1")</f>
      </c>
      <c r="D848" s="8" t="s">
        <v>3085</v>
      </c>
      <c r="E848" s="8" t="s">
        <v>3086</v>
      </c>
      <c r="F848" s="8" t="s">
        <v>3087</v>
      </c>
      <c r="G848" s="6" t="s">
        <v>40</v>
      </c>
      <c r="H848" s="6" t="s">
        <v>3088</v>
      </c>
      <c r="I848" s="6" t="s">
        <v>3089</v>
      </c>
      <c r="J848" s="6" t="s">
        <v>40</v>
      </c>
      <c r="K848" s="6"/>
      <c r="L848" s="7" t="s">
        <v>40</v>
      </c>
      <c r="M848" s="6" t="s">
        <v>76</v>
      </c>
      <c r="N848" s="8" t="s">
        <v>3090</v>
      </c>
      <c r="O848" s="6">
        <f>HYPERLINK("https://docs.wto.org/imrd/directdoc.asp?DDFDocuments/t/G/TBTN23/UKR278A1.DOCX", "https://docs.wto.org/imrd/directdoc.asp?DDFDocuments/t/G/TBTN23/UKR278A1.DOCX")</f>
      </c>
      <c r="P848" s="6">
        <f>HYPERLINK("https://docs.wto.org/imrd/directdoc.asp?DDFDocuments/u/G/TBTN23/UKR278A1.DOCX", "https://docs.wto.org/imrd/directdoc.asp?DDFDocuments/u/G/TBTN23/UKR278A1.DOCX")</f>
      </c>
      <c r="Q848" s="6">
        <f>HYPERLINK("https://docs.wto.org/imrd/directdoc.asp?DDFDocuments/v/G/TBTN23/UKR278A1.DOCX", "https://docs.wto.org/imrd/directdoc.asp?DDFDocuments/v/G/TBTN23/UKR278A1.DOCX")</f>
      </c>
    </row>
    <row r="849">
      <c r="A849" s="6" t="s">
        <v>419</v>
      </c>
      <c r="B849" s="7">
        <v>45504</v>
      </c>
      <c r="C849" s="6">
        <f>HYPERLINK("https://eping.wto.org/en/Search?viewData= G/TBT/N/JPN/781/Add.1"," G/TBT/N/JPN/781/Add.1")</f>
      </c>
      <c r="D849" s="8" t="s">
        <v>3091</v>
      </c>
      <c r="E849" s="8" t="s">
        <v>3092</v>
      </c>
      <c r="F849" s="8" t="s">
        <v>3093</v>
      </c>
      <c r="G849" s="6" t="s">
        <v>40</v>
      </c>
      <c r="H849" s="6" t="s">
        <v>1901</v>
      </c>
      <c r="I849" s="6" t="s">
        <v>142</v>
      </c>
      <c r="J849" s="6" t="s">
        <v>40</v>
      </c>
      <c r="K849" s="6"/>
      <c r="L849" s="7" t="s">
        <v>40</v>
      </c>
      <c r="M849" s="6" t="s">
        <v>76</v>
      </c>
      <c r="N849" s="8" t="s">
        <v>3094</v>
      </c>
      <c r="O849" s="6">
        <f>HYPERLINK("https://docs.wto.org/imrd/directdoc.asp?DDFDocuments/t/G/TBTN23/JPN781A1.DOCX", "https://docs.wto.org/imrd/directdoc.asp?DDFDocuments/t/G/TBTN23/JPN781A1.DOCX")</f>
      </c>
      <c r="P849" s="6">
        <f>HYPERLINK("https://docs.wto.org/imrd/directdoc.asp?DDFDocuments/u/G/TBTN23/JPN781A1.DOCX", "https://docs.wto.org/imrd/directdoc.asp?DDFDocuments/u/G/TBTN23/JPN781A1.DOCX")</f>
      </c>
      <c r="Q849" s="6">
        <f>HYPERLINK("https://docs.wto.org/imrd/directdoc.asp?DDFDocuments/v/G/TBTN23/JPN781A1.DOCX", "https://docs.wto.org/imrd/directdoc.asp?DDFDocuments/v/G/TBTN23/JPN781A1.DOCX")</f>
      </c>
    </row>
    <row r="850">
      <c r="A850" s="6" t="s">
        <v>160</v>
      </c>
      <c r="B850" s="7">
        <v>45504</v>
      </c>
      <c r="C850" s="6">
        <f>HYPERLINK("https://eping.wto.org/en/Search?viewData= G/TBT/N/USA/2037/Add.2/Corr.1"," G/TBT/N/USA/2037/Add.2/Corr.1")</f>
      </c>
      <c r="D850" s="8" t="s">
        <v>3095</v>
      </c>
      <c r="E850" s="8" t="s">
        <v>3096</v>
      </c>
      <c r="F850" s="8" t="s">
        <v>3097</v>
      </c>
      <c r="G850" s="6" t="s">
        <v>3098</v>
      </c>
      <c r="H850" s="6" t="s">
        <v>3099</v>
      </c>
      <c r="I850" s="6" t="s">
        <v>3100</v>
      </c>
      <c r="J850" s="6" t="s">
        <v>40</v>
      </c>
      <c r="K850" s="6"/>
      <c r="L850" s="7" t="s">
        <v>40</v>
      </c>
      <c r="M850" s="6" t="s">
        <v>224</v>
      </c>
      <c r="N850" s="8" t="s">
        <v>3101</v>
      </c>
      <c r="O850" s="6">
        <f>HYPERLINK("https://docs.wto.org/imrd/directdoc.asp?DDFDocuments/t/G/TBTN23/USA2037A2C1.DOCX", "https://docs.wto.org/imrd/directdoc.asp?DDFDocuments/t/G/TBTN23/USA2037A2C1.DOCX")</f>
      </c>
      <c r="P850" s="6">
        <f>HYPERLINK("https://docs.wto.org/imrd/directdoc.asp?DDFDocuments/u/G/TBTN23/USA2037A2C1.DOCX", "https://docs.wto.org/imrd/directdoc.asp?DDFDocuments/u/G/TBTN23/USA2037A2C1.DOCX")</f>
      </c>
      <c r="Q850" s="6">
        <f>HYPERLINK("https://docs.wto.org/imrd/directdoc.asp?DDFDocuments/v/G/TBTN23/USA2037A2C1.DOCX", "https://docs.wto.org/imrd/directdoc.asp?DDFDocuments/v/G/TBTN23/USA2037A2C1.DOCX")</f>
      </c>
    </row>
    <row r="851">
      <c r="A851" s="6" t="s">
        <v>129</v>
      </c>
      <c r="B851" s="7">
        <v>45504</v>
      </c>
      <c r="C851" s="6">
        <f>HYPERLINK("https://eping.wto.org/en/Search?viewData= G/TBT/N/IND/334"," G/TBT/N/IND/334")</f>
      </c>
      <c r="D851" s="8" t="s">
        <v>3102</v>
      </c>
      <c r="E851" s="8" t="s">
        <v>3103</v>
      </c>
      <c r="F851" s="8" t="s">
        <v>3104</v>
      </c>
      <c r="G851" s="6" t="s">
        <v>40</v>
      </c>
      <c r="H851" s="6" t="s">
        <v>40</v>
      </c>
      <c r="I851" s="6" t="s">
        <v>280</v>
      </c>
      <c r="J851" s="6" t="s">
        <v>40</v>
      </c>
      <c r="K851" s="6"/>
      <c r="L851" s="7">
        <v>45564</v>
      </c>
      <c r="M851" s="6" t="s">
        <v>25</v>
      </c>
      <c r="N851" s="8" t="s">
        <v>3105</v>
      </c>
      <c r="O851" s="6">
        <f>HYPERLINK("https://docs.wto.org/imrd/directdoc.asp?DDFDocuments/t/G/TBTN24/IND334.DOCX", "https://docs.wto.org/imrd/directdoc.asp?DDFDocuments/t/G/TBTN24/IND334.DOCX")</f>
      </c>
      <c r="P851" s="6">
        <f>HYPERLINK("https://docs.wto.org/imrd/directdoc.asp?DDFDocuments/u/G/TBTN24/IND334.DOCX", "https://docs.wto.org/imrd/directdoc.asp?DDFDocuments/u/G/TBTN24/IND334.DOCX")</f>
      </c>
      <c r="Q851" s="6">
        <f>HYPERLINK("https://docs.wto.org/imrd/directdoc.asp?DDFDocuments/v/G/TBTN24/IND334.DOCX", "https://docs.wto.org/imrd/directdoc.asp?DDFDocuments/v/G/TBTN24/IND334.DOCX")</f>
      </c>
    </row>
    <row r="852">
      <c r="A852" s="6" t="s">
        <v>515</v>
      </c>
      <c r="B852" s="7">
        <v>45503</v>
      </c>
      <c r="C852" s="6">
        <f>HYPERLINK("https://eping.wto.org/en/Search?viewData= G/TBT/N/EU/1078"," G/TBT/N/EU/1078")</f>
      </c>
      <c r="D852" s="8" t="s">
        <v>3106</v>
      </c>
      <c r="E852" s="8" t="s">
        <v>3107</v>
      </c>
      <c r="F852" s="8" t="s">
        <v>1724</v>
      </c>
      <c r="G852" s="6" t="s">
        <v>40</v>
      </c>
      <c r="H852" s="6" t="s">
        <v>212</v>
      </c>
      <c r="I852" s="6" t="s">
        <v>2991</v>
      </c>
      <c r="J852" s="6" t="s">
        <v>40</v>
      </c>
      <c r="K852" s="6"/>
      <c r="L852" s="7">
        <v>45563</v>
      </c>
      <c r="M852" s="6" t="s">
        <v>25</v>
      </c>
      <c r="N852" s="8" t="s">
        <v>3108</v>
      </c>
      <c r="O852" s="6">
        <f>HYPERLINK("https://docs.wto.org/imrd/directdoc.asp?DDFDocuments/t/G/TBTN24/EU1078.DOCX", "https://docs.wto.org/imrd/directdoc.asp?DDFDocuments/t/G/TBTN24/EU1078.DOCX")</f>
      </c>
      <c r="P852" s="6">
        <f>HYPERLINK("https://docs.wto.org/imrd/directdoc.asp?DDFDocuments/u/G/TBTN24/EU1078.DOCX", "https://docs.wto.org/imrd/directdoc.asp?DDFDocuments/u/G/TBTN24/EU1078.DOCX")</f>
      </c>
      <c r="Q852" s="6">
        <f>HYPERLINK("https://docs.wto.org/imrd/directdoc.asp?DDFDocuments/v/G/TBTN24/EU1078.DOCX", "https://docs.wto.org/imrd/directdoc.asp?DDFDocuments/v/G/TBTN24/EU1078.DOCX")</f>
      </c>
    </row>
    <row r="853">
      <c r="A853" s="6" t="s">
        <v>70</v>
      </c>
      <c r="B853" s="7">
        <v>45503</v>
      </c>
      <c r="C853" s="6">
        <f>HYPERLINK("https://eping.wto.org/en/Search?viewData= G/TBT/N/UKR/277/Add.1"," G/TBT/N/UKR/277/Add.1")</f>
      </c>
      <c r="D853" s="8" t="s">
        <v>3109</v>
      </c>
      <c r="E853" s="8" t="s">
        <v>3110</v>
      </c>
      <c r="F853" s="8" t="s">
        <v>3111</v>
      </c>
      <c r="G853" s="6" t="s">
        <v>40</v>
      </c>
      <c r="H853" s="6" t="s">
        <v>3112</v>
      </c>
      <c r="I853" s="6" t="s">
        <v>3089</v>
      </c>
      <c r="J853" s="6" t="s">
        <v>40</v>
      </c>
      <c r="K853" s="6"/>
      <c r="L853" s="7" t="s">
        <v>40</v>
      </c>
      <c r="M853" s="6" t="s">
        <v>76</v>
      </c>
      <c r="N853" s="8" t="s">
        <v>3113</v>
      </c>
      <c r="O853" s="6">
        <f>HYPERLINK("https://docs.wto.org/imrd/directdoc.asp?DDFDocuments/t/G/TBTN23/UKR277A1.DOCX", "https://docs.wto.org/imrd/directdoc.asp?DDFDocuments/t/G/TBTN23/UKR277A1.DOCX")</f>
      </c>
      <c r="P853" s="6">
        <f>HYPERLINK("https://docs.wto.org/imrd/directdoc.asp?DDFDocuments/u/G/TBTN23/UKR277A1.DOCX", "https://docs.wto.org/imrd/directdoc.asp?DDFDocuments/u/G/TBTN23/UKR277A1.DOCX")</f>
      </c>
      <c r="Q853" s="6">
        <f>HYPERLINK("https://docs.wto.org/imrd/directdoc.asp?DDFDocuments/v/G/TBTN23/UKR277A1.DOCX", "https://docs.wto.org/imrd/directdoc.asp?DDFDocuments/v/G/TBTN23/UKR277A1.DOCX")</f>
      </c>
    </row>
    <row r="854">
      <c r="A854" s="6" t="s">
        <v>70</v>
      </c>
      <c r="B854" s="7">
        <v>45503</v>
      </c>
      <c r="C854" s="6">
        <f>HYPERLINK("https://eping.wto.org/en/Search?viewData= G/SPS/N/UKR/225"," G/SPS/N/UKR/225")</f>
      </c>
      <c r="D854" s="8" t="s">
        <v>3114</v>
      </c>
      <c r="E854" s="8" t="s">
        <v>3115</v>
      </c>
      <c r="F854" s="8" t="s">
        <v>3116</v>
      </c>
      <c r="G854" s="6" t="s">
        <v>3117</v>
      </c>
      <c r="H854" s="6" t="s">
        <v>1456</v>
      </c>
      <c r="I854" s="6" t="s">
        <v>791</v>
      </c>
      <c r="J854" s="6" t="s">
        <v>792</v>
      </c>
      <c r="K854" s="6" t="s">
        <v>40</v>
      </c>
      <c r="L854" s="7">
        <v>45563</v>
      </c>
      <c r="M854" s="6" t="s">
        <v>25</v>
      </c>
      <c r="N854" s="8" t="s">
        <v>3118</v>
      </c>
      <c r="O854" s="6">
        <f>HYPERLINK("https://docs.wto.org/imrd/directdoc.asp?DDFDocuments/t/G/SPS/NUKR225.DOCX", "https://docs.wto.org/imrd/directdoc.asp?DDFDocuments/t/G/SPS/NUKR225.DOCX")</f>
      </c>
      <c r="P854" s="6">
        <f>HYPERLINK("https://docs.wto.org/imrd/directdoc.asp?DDFDocuments/u/G/SPS/NUKR225.DOCX", "https://docs.wto.org/imrd/directdoc.asp?DDFDocuments/u/G/SPS/NUKR225.DOCX")</f>
      </c>
      <c r="Q854" s="6">
        <f>HYPERLINK("https://docs.wto.org/imrd/directdoc.asp?DDFDocuments/v/G/SPS/NUKR225.DOCX", "https://docs.wto.org/imrd/directdoc.asp?DDFDocuments/v/G/SPS/NUKR225.DOCX")</f>
      </c>
    </row>
    <row r="855">
      <c r="A855" s="6" t="s">
        <v>358</v>
      </c>
      <c r="B855" s="7">
        <v>45503</v>
      </c>
      <c r="C855" s="6">
        <f>HYPERLINK("https://eping.wto.org/en/Search?viewData= G/SPS/N/NZL/771"," G/SPS/N/NZL/771")</f>
      </c>
      <c r="D855" s="8" t="s">
        <v>3119</v>
      </c>
      <c r="E855" s="8" t="s">
        <v>3120</v>
      </c>
      <c r="F855" s="8" t="s">
        <v>3121</v>
      </c>
      <c r="G855" s="6" t="s">
        <v>40</v>
      </c>
      <c r="H855" s="6" t="s">
        <v>40</v>
      </c>
      <c r="I855" s="6" t="s">
        <v>369</v>
      </c>
      <c r="J855" s="6" t="s">
        <v>370</v>
      </c>
      <c r="K855" s="6"/>
      <c r="L855" s="7" t="s">
        <v>40</v>
      </c>
      <c r="M855" s="6" t="s">
        <v>25</v>
      </c>
      <c r="N855" s="8" t="s">
        <v>3122</v>
      </c>
      <c r="O855" s="6">
        <f>HYPERLINK("https://docs.wto.org/imrd/directdoc.asp?DDFDocuments/t/G/SPS/NNZL771.DOCX", "https://docs.wto.org/imrd/directdoc.asp?DDFDocuments/t/G/SPS/NNZL771.DOCX")</f>
      </c>
      <c r="P855" s="6">
        <f>HYPERLINK("https://docs.wto.org/imrd/directdoc.asp?DDFDocuments/u/G/SPS/NNZL771.DOCX", "https://docs.wto.org/imrd/directdoc.asp?DDFDocuments/u/G/SPS/NNZL771.DOCX")</f>
      </c>
      <c r="Q855" s="6">
        <f>HYPERLINK("https://docs.wto.org/imrd/directdoc.asp?DDFDocuments/v/G/SPS/NNZL771.DOCX", "https://docs.wto.org/imrd/directdoc.asp?DDFDocuments/v/G/SPS/NNZL771.DOCX")</f>
      </c>
    </row>
    <row r="856">
      <c r="A856" s="6" t="s">
        <v>180</v>
      </c>
      <c r="B856" s="7">
        <v>45503</v>
      </c>
      <c r="C856" s="6">
        <f>HYPERLINK("https://eping.wto.org/en/Search?viewData= G/SPS/N/CRI/267/Add.1"," G/SPS/N/CRI/267/Add.1")</f>
      </c>
      <c r="D856" s="8" t="s">
        <v>3123</v>
      </c>
      <c r="E856" s="8" t="s">
        <v>3123</v>
      </c>
      <c r="F856" s="8" t="s">
        <v>3124</v>
      </c>
      <c r="G856" s="6" t="s">
        <v>3125</v>
      </c>
      <c r="H856" s="6" t="s">
        <v>40</v>
      </c>
      <c r="I856" s="6" t="s">
        <v>184</v>
      </c>
      <c r="J856" s="6" t="s">
        <v>527</v>
      </c>
      <c r="K856" s="6"/>
      <c r="L856" s="7" t="s">
        <v>40</v>
      </c>
      <c r="M856" s="6" t="s">
        <v>76</v>
      </c>
      <c r="N856" s="8" t="s">
        <v>3126</v>
      </c>
      <c r="O856" s="6">
        <f>HYPERLINK("https://docs.wto.org/imrd/directdoc.asp?DDFDocuments/t/G/SPS/NCRI267A1.DOCX", "https://docs.wto.org/imrd/directdoc.asp?DDFDocuments/t/G/SPS/NCRI267A1.DOCX")</f>
      </c>
      <c r="P856" s="6">
        <f>HYPERLINK("https://docs.wto.org/imrd/directdoc.asp?DDFDocuments/u/G/SPS/NCRI267A1.DOCX", "https://docs.wto.org/imrd/directdoc.asp?DDFDocuments/u/G/SPS/NCRI267A1.DOCX")</f>
      </c>
      <c r="Q856" s="6">
        <f>HYPERLINK("https://docs.wto.org/imrd/directdoc.asp?DDFDocuments/v/G/SPS/NCRI267A1.DOCX", "https://docs.wto.org/imrd/directdoc.asp?DDFDocuments/v/G/SPS/NCRI267A1.DOCX")</f>
      </c>
    </row>
    <row r="857">
      <c r="A857" s="6" t="s">
        <v>358</v>
      </c>
      <c r="B857" s="7">
        <v>45503</v>
      </c>
      <c r="C857" s="6">
        <f>HYPERLINK("https://eping.wto.org/en/Search?viewData= G/SPS/N/NZL/772"," G/SPS/N/NZL/772")</f>
      </c>
      <c r="D857" s="8" t="s">
        <v>3127</v>
      </c>
      <c r="E857" s="8" t="s">
        <v>3128</v>
      </c>
      <c r="F857" s="8" t="s">
        <v>3129</v>
      </c>
      <c r="G857" s="6" t="s">
        <v>40</v>
      </c>
      <c r="H857" s="6" t="s">
        <v>40</v>
      </c>
      <c r="I857" s="6" t="s">
        <v>369</v>
      </c>
      <c r="J857" s="6" t="s">
        <v>370</v>
      </c>
      <c r="K857" s="6"/>
      <c r="L857" s="7">
        <v>45547</v>
      </c>
      <c r="M857" s="6" t="s">
        <v>25</v>
      </c>
      <c r="N857" s="8" t="s">
        <v>3130</v>
      </c>
      <c r="O857" s="6">
        <f>HYPERLINK("https://docs.wto.org/imrd/directdoc.asp?DDFDocuments/t/G/SPS/NNZL772.DOCX", "https://docs.wto.org/imrd/directdoc.asp?DDFDocuments/t/G/SPS/NNZL772.DOCX")</f>
      </c>
      <c r="P857" s="6">
        <f>HYPERLINK("https://docs.wto.org/imrd/directdoc.asp?DDFDocuments/u/G/SPS/NNZL772.DOCX", "https://docs.wto.org/imrd/directdoc.asp?DDFDocuments/u/G/SPS/NNZL772.DOCX")</f>
      </c>
      <c r="Q857" s="6">
        <f>HYPERLINK("https://docs.wto.org/imrd/directdoc.asp?DDFDocuments/v/G/SPS/NNZL772.DOCX", "https://docs.wto.org/imrd/directdoc.asp?DDFDocuments/v/G/SPS/NNZL772.DOCX")</f>
      </c>
    </row>
    <row r="858">
      <c r="A858" s="6" t="s">
        <v>3131</v>
      </c>
      <c r="B858" s="7">
        <v>45503</v>
      </c>
      <c r="C858" s="6">
        <f>HYPERLINK("https://eping.wto.org/en/Search?viewData= G/TBT/N/TTO/144"," G/TBT/N/TTO/144")</f>
      </c>
      <c r="D858" s="8" t="s">
        <v>3132</v>
      </c>
      <c r="E858" s="8" t="s">
        <v>3133</v>
      </c>
      <c r="F858" s="8" t="s">
        <v>3134</v>
      </c>
      <c r="G858" s="6" t="s">
        <v>40</v>
      </c>
      <c r="H858" s="6" t="s">
        <v>1376</v>
      </c>
      <c r="I858" s="6" t="s">
        <v>94</v>
      </c>
      <c r="J858" s="6" t="s">
        <v>40</v>
      </c>
      <c r="K858" s="6"/>
      <c r="L858" s="7">
        <v>45563</v>
      </c>
      <c r="M858" s="6" t="s">
        <v>25</v>
      </c>
      <c r="N858" s="8" t="s">
        <v>3135</v>
      </c>
      <c r="O858" s="6">
        <f>HYPERLINK("https://docs.wto.org/imrd/directdoc.asp?DDFDocuments/t/G/TBTN24/TTO144.DOCX", "https://docs.wto.org/imrd/directdoc.asp?DDFDocuments/t/G/TBTN24/TTO144.DOCX")</f>
      </c>
      <c r="P858" s="6">
        <f>HYPERLINK("https://docs.wto.org/imrd/directdoc.asp?DDFDocuments/u/G/TBTN24/TTO144.DOCX", "https://docs.wto.org/imrd/directdoc.asp?DDFDocuments/u/G/TBTN24/TTO144.DOCX")</f>
      </c>
      <c r="Q858" s="6">
        <f>HYPERLINK("https://docs.wto.org/imrd/directdoc.asp?DDFDocuments/v/G/TBTN24/TTO144.DOCX", "https://docs.wto.org/imrd/directdoc.asp?DDFDocuments/v/G/TBTN24/TTO144.DOCX")</f>
      </c>
    </row>
    <row r="859">
      <c r="A859" s="6" t="s">
        <v>70</v>
      </c>
      <c r="B859" s="7">
        <v>45503</v>
      </c>
      <c r="C859" s="6">
        <f>HYPERLINK("https://eping.wto.org/en/Search?viewData= G/SPS/N/UKR/220/Add.1"," G/SPS/N/UKR/220/Add.1")</f>
      </c>
      <c r="D859" s="8" t="s">
        <v>3136</v>
      </c>
      <c r="E859" s="8" t="s">
        <v>3137</v>
      </c>
      <c r="F859" s="8" t="s">
        <v>3138</v>
      </c>
      <c r="G859" s="6" t="s">
        <v>40</v>
      </c>
      <c r="H859" s="6" t="s">
        <v>40</v>
      </c>
      <c r="I859" s="6" t="s">
        <v>369</v>
      </c>
      <c r="J859" s="6" t="s">
        <v>593</v>
      </c>
      <c r="K859" s="6"/>
      <c r="L859" s="7" t="s">
        <v>40</v>
      </c>
      <c r="M859" s="6" t="s">
        <v>76</v>
      </c>
      <c r="N859" s="8" t="s">
        <v>3139</v>
      </c>
      <c r="O859" s="6">
        <f>HYPERLINK("https://docs.wto.org/imrd/directdoc.asp?DDFDocuments/t/G/SPS/NUKR220A1.DOCX", "https://docs.wto.org/imrd/directdoc.asp?DDFDocuments/t/G/SPS/NUKR220A1.DOCX")</f>
      </c>
      <c r="P859" s="6">
        <f>HYPERLINK("https://docs.wto.org/imrd/directdoc.asp?DDFDocuments/u/G/SPS/NUKR220A1.DOCX", "https://docs.wto.org/imrd/directdoc.asp?DDFDocuments/u/G/SPS/NUKR220A1.DOCX")</f>
      </c>
      <c r="Q859" s="6">
        <f>HYPERLINK("https://docs.wto.org/imrd/directdoc.asp?DDFDocuments/v/G/SPS/NUKR220A1.DOCX", "https://docs.wto.org/imrd/directdoc.asp?DDFDocuments/v/G/SPS/NUKR220A1.DOCX")</f>
      </c>
    </row>
    <row r="860">
      <c r="A860" s="6" t="s">
        <v>70</v>
      </c>
      <c r="B860" s="7">
        <v>45503</v>
      </c>
      <c r="C860" s="6">
        <f>HYPERLINK("https://eping.wto.org/en/Search?viewData= G/TBT/N/UKR/179/Rev.2/Add.1"," G/TBT/N/UKR/179/Rev.2/Add.1")</f>
      </c>
      <c r="D860" s="8" t="s">
        <v>3140</v>
      </c>
      <c r="E860" s="8" t="s">
        <v>3141</v>
      </c>
      <c r="F860" s="8" t="s">
        <v>3142</v>
      </c>
      <c r="G860" s="6" t="s">
        <v>3143</v>
      </c>
      <c r="H860" s="6" t="s">
        <v>3144</v>
      </c>
      <c r="I860" s="6" t="s">
        <v>3145</v>
      </c>
      <c r="J860" s="6" t="s">
        <v>40</v>
      </c>
      <c r="K860" s="6"/>
      <c r="L860" s="7" t="s">
        <v>40</v>
      </c>
      <c r="M860" s="6" t="s">
        <v>76</v>
      </c>
      <c r="N860" s="8" t="s">
        <v>3146</v>
      </c>
      <c r="O860" s="6">
        <f>HYPERLINK("https://docs.wto.org/imrd/directdoc.asp?DDFDocuments/t/G/TBTN21/UKR179R2A1.DOCX", "https://docs.wto.org/imrd/directdoc.asp?DDFDocuments/t/G/TBTN21/UKR179R2A1.DOCX")</f>
      </c>
      <c r="P860" s="6">
        <f>HYPERLINK("https://docs.wto.org/imrd/directdoc.asp?DDFDocuments/u/G/TBTN21/UKR179R2A1.DOCX", "https://docs.wto.org/imrd/directdoc.asp?DDFDocuments/u/G/TBTN21/UKR179R2A1.DOCX")</f>
      </c>
      <c r="Q860" s="6">
        <f>HYPERLINK("https://docs.wto.org/imrd/directdoc.asp?DDFDocuments/v/G/TBTN21/UKR179R2A1.DOCX", "https://docs.wto.org/imrd/directdoc.asp?DDFDocuments/v/G/TBTN21/UKR179R2A1.DOCX")</f>
      </c>
    </row>
    <row r="861">
      <c r="A861" s="6" t="s">
        <v>3131</v>
      </c>
      <c r="B861" s="7">
        <v>45503</v>
      </c>
      <c r="C861" s="6">
        <f>HYPERLINK("https://eping.wto.org/en/Search?viewData= G/TBT/N/TTO/143"," G/TBT/N/TTO/143")</f>
      </c>
      <c r="D861" s="8" t="s">
        <v>3147</v>
      </c>
      <c r="E861" s="8" t="s">
        <v>3148</v>
      </c>
      <c r="F861" s="8" t="s">
        <v>3149</v>
      </c>
      <c r="G861" s="6" t="s">
        <v>40</v>
      </c>
      <c r="H861" s="6" t="s">
        <v>3150</v>
      </c>
      <c r="I861" s="6" t="s">
        <v>147</v>
      </c>
      <c r="J861" s="6" t="s">
        <v>40</v>
      </c>
      <c r="K861" s="6"/>
      <c r="L861" s="7">
        <v>45563</v>
      </c>
      <c r="M861" s="6" t="s">
        <v>25</v>
      </c>
      <c r="N861" s="8" t="s">
        <v>3151</v>
      </c>
      <c r="O861" s="6">
        <f>HYPERLINK("https://docs.wto.org/imrd/directdoc.asp?DDFDocuments/t/G/TBTN24/TTO143.DOCX", "https://docs.wto.org/imrd/directdoc.asp?DDFDocuments/t/G/TBTN24/TTO143.DOCX")</f>
      </c>
      <c r="P861" s="6">
        <f>HYPERLINK("https://docs.wto.org/imrd/directdoc.asp?DDFDocuments/u/G/TBTN24/TTO143.DOCX", "https://docs.wto.org/imrd/directdoc.asp?DDFDocuments/u/G/TBTN24/TTO143.DOCX")</f>
      </c>
      <c r="Q861" s="6">
        <f>HYPERLINK("https://docs.wto.org/imrd/directdoc.asp?DDFDocuments/v/G/TBTN24/TTO143.DOCX", "https://docs.wto.org/imrd/directdoc.asp?DDFDocuments/v/G/TBTN24/TTO143.DOCX")</f>
      </c>
    </row>
    <row r="862">
      <c r="A862" s="6" t="s">
        <v>515</v>
      </c>
      <c r="B862" s="7">
        <v>45503</v>
      </c>
      <c r="C862" s="6">
        <f>HYPERLINK("https://eping.wto.org/en/Search?viewData= G/TBT/N/EU/1079"," G/TBT/N/EU/1079")</f>
      </c>
      <c r="D862" s="8" t="s">
        <v>3152</v>
      </c>
      <c r="E862" s="8" t="s">
        <v>3153</v>
      </c>
      <c r="F862" s="8" t="s">
        <v>3154</v>
      </c>
      <c r="G862" s="6" t="s">
        <v>40</v>
      </c>
      <c r="H862" s="6" t="s">
        <v>212</v>
      </c>
      <c r="I862" s="6" t="s">
        <v>147</v>
      </c>
      <c r="J862" s="6" t="s">
        <v>40</v>
      </c>
      <c r="K862" s="6"/>
      <c r="L862" s="7">
        <v>45563</v>
      </c>
      <c r="M862" s="6" t="s">
        <v>25</v>
      </c>
      <c r="N862" s="8" t="s">
        <v>3155</v>
      </c>
      <c r="O862" s="6">
        <f>HYPERLINK("https://docs.wto.org/imrd/directdoc.asp?DDFDocuments/t/G/TBTN24/EU1079.DOCX", "https://docs.wto.org/imrd/directdoc.asp?DDFDocuments/t/G/TBTN24/EU1079.DOCX")</f>
      </c>
      <c r="P862" s="6">
        <f>HYPERLINK("https://docs.wto.org/imrd/directdoc.asp?DDFDocuments/u/G/TBTN24/EU1079.DOCX", "https://docs.wto.org/imrd/directdoc.asp?DDFDocuments/u/G/TBTN24/EU1079.DOCX")</f>
      </c>
      <c r="Q862" s="6">
        <f>HYPERLINK("https://docs.wto.org/imrd/directdoc.asp?DDFDocuments/v/G/TBTN24/EU1079.DOCX", "https://docs.wto.org/imrd/directdoc.asp?DDFDocuments/v/G/TBTN24/EU1079.DOCX")</f>
      </c>
    </row>
    <row r="863">
      <c r="A863" s="6" t="s">
        <v>974</v>
      </c>
      <c r="B863" s="7">
        <v>45502</v>
      </c>
      <c r="C863" s="6">
        <f>HYPERLINK("https://eping.wto.org/en/Search?viewData= G/TBT/N/KHM/23"," G/TBT/N/KHM/23")</f>
      </c>
      <c r="D863" s="8" t="s">
        <v>975</v>
      </c>
      <c r="E863" s="8" t="s">
        <v>3156</v>
      </c>
      <c r="F863" s="8" t="s">
        <v>977</v>
      </c>
      <c r="G863" s="6" t="s">
        <v>3157</v>
      </c>
      <c r="H863" s="6" t="s">
        <v>3158</v>
      </c>
      <c r="I863" s="6" t="s">
        <v>147</v>
      </c>
      <c r="J863" s="6" t="s">
        <v>40</v>
      </c>
      <c r="K863" s="6"/>
      <c r="L863" s="7">
        <v>45533</v>
      </c>
      <c r="M863" s="6" t="s">
        <v>25</v>
      </c>
      <c r="N863" s="8" t="s">
        <v>3159</v>
      </c>
      <c r="O863" s="6">
        <f>HYPERLINK("https://docs.wto.org/imrd/directdoc.asp?DDFDocuments/t/G/TBTN24/KHM23.DOCX", "https://docs.wto.org/imrd/directdoc.asp?DDFDocuments/t/G/TBTN24/KHM23.DOCX")</f>
      </c>
      <c r="P863" s="6">
        <f>HYPERLINK("https://docs.wto.org/imrd/directdoc.asp?DDFDocuments/u/G/TBTN24/KHM23.DOCX", "https://docs.wto.org/imrd/directdoc.asp?DDFDocuments/u/G/TBTN24/KHM23.DOCX")</f>
      </c>
      <c r="Q863" s="6">
        <f>HYPERLINK("https://docs.wto.org/imrd/directdoc.asp?DDFDocuments/v/G/TBTN24/KHM23.DOCX", "https://docs.wto.org/imrd/directdoc.asp?DDFDocuments/v/G/TBTN24/KHM23.DOCX")</f>
      </c>
    </row>
    <row r="864">
      <c r="A864" s="6" t="s">
        <v>89</v>
      </c>
      <c r="B864" s="7">
        <v>45502</v>
      </c>
      <c r="C864" s="6">
        <f>HYPERLINK("https://eping.wto.org/en/Search?viewData= G/SPS/N/ECU/351"," G/SPS/N/ECU/351")</f>
      </c>
      <c r="D864" s="8" t="s">
        <v>3160</v>
      </c>
      <c r="E864" s="8" t="s">
        <v>3161</v>
      </c>
      <c r="F864" s="8" t="s">
        <v>3162</v>
      </c>
      <c r="G864" s="6" t="s">
        <v>40</v>
      </c>
      <c r="H864" s="6" t="s">
        <v>40</v>
      </c>
      <c r="I864" s="6" t="s">
        <v>369</v>
      </c>
      <c r="J864" s="6" t="s">
        <v>370</v>
      </c>
      <c r="K864" s="6" t="s">
        <v>3163</v>
      </c>
      <c r="L864" s="7">
        <v>45562</v>
      </c>
      <c r="M864" s="6" t="s">
        <v>25</v>
      </c>
      <c r="N864" s="8" t="s">
        <v>3164</v>
      </c>
      <c r="O864" s="6">
        <f>HYPERLINK("https://docs.wto.org/imrd/directdoc.asp?DDFDocuments/t/G/SPS/NECU351.DOCX", "https://docs.wto.org/imrd/directdoc.asp?DDFDocuments/t/G/SPS/NECU351.DOCX")</f>
      </c>
      <c r="P864" s="6">
        <f>HYPERLINK("https://docs.wto.org/imrd/directdoc.asp?DDFDocuments/u/G/SPS/NECU351.DOCX", "https://docs.wto.org/imrd/directdoc.asp?DDFDocuments/u/G/SPS/NECU351.DOCX")</f>
      </c>
      <c r="Q864" s="6">
        <f>HYPERLINK("https://docs.wto.org/imrd/directdoc.asp?DDFDocuments/v/G/SPS/NECU351.DOCX", "https://docs.wto.org/imrd/directdoc.asp?DDFDocuments/v/G/SPS/NECU351.DOCX")</f>
      </c>
    </row>
    <row r="865">
      <c r="A865" s="6" t="s">
        <v>99</v>
      </c>
      <c r="B865" s="7">
        <v>45502</v>
      </c>
      <c r="C865" s="6">
        <f>HYPERLINK("https://eping.wto.org/en/Search?viewData= G/TBT/N/AUS/172"," G/TBT/N/AUS/172")</f>
      </c>
      <c r="D865" s="8" t="s">
        <v>3165</v>
      </c>
      <c r="E865" s="8" t="s">
        <v>3166</v>
      </c>
      <c r="F865" s="8" t="s">
        <v>3167</v>
      </c>
      <c r="G865" s="6" t="s">
        <v>40</v>
      </c>
      <c r="H865" s="6" t="s">
        <v>40</v>
      </c>
      <c r="I865" s="6" t="s">
        <v>3168</v>
      </c>
      <c r="J865" s="6" t="s">
        <v>24</v>
      </c>
      <c r="K865" s="6"/>
      <c r="L865" s="7">
        <v>45563</v>
      </c>
      <c r="M865" s="6" t="s">
        <v>25</v>
      </c>
      <c r="N865" s="8" t="s">
        <v>3169</v>
      </c>
      <c r="O865" s="6">
        <f>HYPERLINK("https://docs.wto.org/imrd/directdoc.asp?DDFDocuments/t/G/TBTN24/AUS172.DOCX", "https://docs.wto.org/imrd/directdoc.asp?DDFDocuments/t/G/TBTN24/AUS172.DOCX")</f>
      </c>
      <c r="P865" s="6">
        <f>HYPERLINK("https://docs.wto.org/imrd/directdoc.asp?DDFDocuments/u/G/TBTN24/AUS172.DOCX", "https://docs.wto.org/imrd/directdoc.asp?DDFDocuments/u/G/TBTN24/AUS172.DOCX")</f>
      </c>
      <c r="Q865" s="6">
        <f>HYPERLINK("https://docs.wto.org/imrd/directdoc.asp?DDFDocuments/v/G/TBTN24/AUS172.DOCX", "https://docs.wto.org/imrd/directdoc.asp?DDFDocuments/v/G/TBTN24/AUS172.DOCX")</f>
      </c>
    </row>
    <row r="866">
      <c r="A866" s="6" t="s">
        <v>358</v>
      </c>
      <c r="B866" s="7">
        <v>45502</v>
      </c>
      <c r="C866" s="6">
        <f>HYPERLINK("https://eping.wto.org/en/Search?viewData= G/TBT/N/NZL/136"," G/TBT/N/NZL/136")</f>
      </c>
      <c r="D866" s="8" t="s">
        <v>3170</v>
      </c>
      <c r="E866" s="8" t="s">
        <v>3171</v>
      </c>
      <c r="F866" s="8" t="s">
        <v>3167</v>
      </c>
      <c r="G866" s="6" t="s">
        <v>40</v>
      </c>
      <c r="H866" s="6" t="s">
        <v>40</v>
      </c>
      <c r="I866" s="6" t="s">
        <v>142</v>
      </c>
      <c r="J866" s="6" t="s">
        <v>24</v>
      </c>
      <c r="K866" s="6"/>
      <c r="L866" s="7">
        <v>45563</v>
      </c>
      <c r="M866" s="6" t="s">
        <v>25</v>
      </c>
      <c r="N866" s="8" t="s">
        <v>3172</v>
      </c>
      <c r="O866" s="6">
        <f>HYPERLINK("https://docs.wto.org/imrd/directdoc.asp?DDFDocuments/t/G/TBTN24/NZL136.DOCX", "https://docs.wto.org/imrd/directdoc.asp?DDFDocuments/t/G/TBTN24/NZL136.DOCX")</f>
      </c>
      <c r="P866" s="6">
        <f>HYPERLINK("https://docs.wto.org/imrd/directdoc.asp?DDFDocuments/u/G/TBTN24/NZL136.DOCX", "https://docs.wto.org/imrd/directdoc.asp?DDFDocuments/u/G/TBTN24/NZL136.DOCX")</f>
      </c>
      <c r="Q866" s="6">
        <f>HYPERLINK("https://docs.wto.org/imrd/directdoc.asp?DDFDocuments/v/G/TBTN24/NZL136.DOCX", "https://docs.wto.org/imrd/directdoc.asp?DDFDocuments/v/G/TBTN24/NZL136.DOCX")</f>
      </c>
    </row>
    <row r="867">
      <c r="A867" s="6" t="s">
        <v>1650</v>
      </c>
      <c r="B867" s="7">
        <v>45502</v>
      </c>
      <c r="C867" s="6">
        <f>HYPERLINK("https://eping.wto.org/en/Search?viewData= G/TBT/N/URY/43/Add.2"," G/TBT/N/URY/43/Add.2")</f>
      </c>
      <c r="D867" s="8" t="s">
        <v>3173</v>
      </c>
      <c r="E867" s="8" t="s">
        <v>3174</v>
      </c>
      <c r="F867" s="8" t="s">
        <v>3175</v>
      </c>
      <c r="G867" s="6" t="s">
        <v>40</v>
      </c>
      <c r="H867" s="6" t="s">
        <v>3176</v>
      </c>
      <c r="I867" s="6" t="s">
        <v>147</v>
      </c>
      <c r="J867" s="6" t="s">
        <v>40</v>
      </c>
      <c r="K867" s="6"/>
      <c r="L867" s="7" t="s">
        <v>40</v>
      </c>
      <c r="M867" s="6" t="s">
        <v>76</v>
      </c>
      <c r="N867" s="8" t="s">
        <v>3177</v>
      </c>
      <c r="O867" s="6">
        <f>HYPERLINK("https://docs.wto.org/imrd/directdoc.asp?DDFDocuments/t/G/TBTN20/URY43A2.DOCX", "https://docs.wto.org/imrd/directdoc.asp?DDFDocuments/t/G/TBTN20/URY43A2.DOCX")</f>
      </c>
      <c r="P867" s="6">
        <f>HYPERLINK("https://docs.wto.org/imrd/directdoc.asp?DDFDocuments/u/G/TBTN20/URY43A2.DOCX", "https://docs.wto.org/imrd/directdoc.asp?DDFDocuments/u/G/TBTN20/URY43A2.DOCX")</f>
      </c>
      <c r="Q867" s="6">
        <f>HYPERLINK("https://docs.wto.org/imrd/directdoc.asp?DDFDocuments/v/G/TBTN20/URY43A2.DOCX", "https://docs.wto.org/imrd/directdoc.asp?DDFDocuments/v/G/TBTN20/URY43A2.DOCX")</f>
      </c>
    </row>
    <row r="868">
      <c r="A868" s="6" t="s">
        <v>89</v>
      </c>
      <c r="B868" s="7">
        <v>45502</v>
      </c>
      <c r="C868" s="6">
        <f>HYPERLINK("https://eping.wto.org/en/Search?viewData= G/SPS/N/ECU/352"," G/SPS/N/ECU/352")</f>
      </c>
      <c r="D868" s="8" t="s">
        <v>3178</v>
      </c>
      <c r="E868" s="8" t="s">
        <v>3179</v>
      </c>
      <c r="F868" s="8" t="s">
        <v>3180</v>
      </c>
      <c r="G868" s="6" t="s">
        <v>40</v>
      </c>
      <c r="H868" s="6" t="s">
        <v>40</v>
      </c>
      <c r="I868" s="6" t="s">
        <v>369</v>
      </c>
      <c r="J868" s="6" t="s">
        <v>370</v>
      </c>
      <c r="K868" s="6" t="s">
        <v>3163</v>
      </c>
      <c r="L868" s="7">
        <v>45562</v>
      </c>
      <c r="M868" s="6" t="s">
        <v>25</v>
      </c>
      <c r="N868" s="8" t="s">
        <v>3181</v>
      </c>
      <c r="O868" s="6">
        <f>HYPERLINK("https://docs.wto.org/imrd/directdoc.asp?DDFDocuments/t/G/SPS/NECU352.DOCX", "https://docs.wto.org/imrd/directdoc.asp?DDFDocuments/t/G/SPS/NECU352.DOCX")</f>
      </c>
      <c r="P868" s="6">
        <f>HYPERLINK("https://docs.wto.org/imrd/directdoc.asp?DDFDocuments/u/G/SPS/NECU352.DOCX", "https://docs.wto.org/imrd/directdoc.asp?DDFDocuments/u/G/SPS/NECU352.DOCX")</f>
      </c>
      <c r="Q868" s="6">
        <f>HYPERLINK("https://docs.wto.org/imrd/directdoc.asp?DDFDocuments/v/G/SPS/NECU352.DOCX", "https://docs.wto.org/imrd/directdoc.asp?DDFDocuments/v/G/SPS/NECU352.DOCX")</f>
      </c>
    </row>
    <row r="869">
      <c r="A869" s="6" t="s">
        <v>412</v>
      </c>
      <c r="B869" s="7">
        <v>45502</v>
      </c>
      <c r="C869" s="6">
        <f>HYPERLINK("https://eping.wto.org/en/Search?viewData= G/SPS/N/COL/361/Add.1"," G/SPS/N/COL/361/Add.1")</f>
      </c>
      <c r="D869" s="8" t="s">
        <v>3182</v>
      </c>
      <c r="E869" s="8" t="s">
        <v>3182</v>
      </c>
      <c r="F869" s="8" t="s">
        <v>3183</v>
      </c>
      <c r="G869" s="6" t="s">
        <v>3184</v>
      </c>
      <c r="H869" s="6" t="s">
        <v>40</v>
      </c>
      <c r="I869" s="6" t="s">
        <v>2669</v>
      </c>
      <c r="J869" s="6" t="s">
        <v>3185</v>
      </c>
      <c r="K869" s="6"/>
      <c r="L869" s="7" t="s">
        <v>40</v>
      </c>
      <c r="M869" s="6" t="s">
        <v>3186</v>
      </c>
      <c r="N869" s="8" t="s">
        <v>3187</v>
      </c>
      <c r="O869" s="6">
        <f>HYPERLINK("https://docs.wto.org/imrd/directdoc.asp?DDFDocuments/t/G/SPS/NCOL361A1.DOCX", "https://docs.wto.org/imrd/directdoc.asp?DDFDocuments/t/G/SPS/NCOL361A1.DOCX")</f>
      </c>
      <c r="P869" s="6">
        <f>HYPERLINK("https://docs.wto.org/imrd/directdoc.asp?DDFDocuments/u/G/SPS/NCOL361A1.DOCX", "https://docs.wto.org/imrd/directdoc.asp?DDFDocuments/u/G/SPS/NCOL361A1.DOCX")</f>
      </c>
      <c r="Q869" s="6">
        <f>HYPERLINK("https://docs.wto.org/imrd/directdoc.asp?DDFDocuments/v/G/SPS/NCOL361A1.DOCX", "https://docs.wto.org/imrd/directdoc.asp?DDFDocuments/v/G/SPS/NCOL361A1.DOCX")</f>
      </c>
    </row>
    <row r="870">
      <c r="A870" s="6" t="s">
        <v>566</v>
      </c>
      <c r="B870" s="7">
        <v>45502</v>
      </c>
      <c r="C870" s="6">
        <f>HYPERLINK("https://eping.wto.org/en/Search?viewData= G/TBT/N/FRA/234"," G/TBT/N/FRA/234")</f>
      </c>
      <c r="D870" s="8" t="s">
        <v>3188</v>
      </c>
      <c r="E870" s="8" t="s">
        <v>3189</v>
      </c>
      <c r="F870" s="8" t="s">
        <v>3190</v>
      </c>
      <c r="G870" s="6" t="s">
        <v>3191</v>
      </c>
      <c r="H870" s="6" t="s">
        <v>2665</v>
      </c>
      <c r="I870" s="6" t="s">
        <v>147</v>
      </c>
      <c r="J870" s="6" t="s">
        <v>40</v>
      </c>
      <c r="K870" s="6"/>
      <c r="L870" s="7">
        <v>45562</v>
      </c>
      <c r="M870" s="6" t="s">
        <v>25</v>
      </c>
      <c r="N870" s="8" t="s">
        <v>3192</v>
      </c>
      <c r="O870" s="6">
        <f>HYPERLINK("https://docs.wto.org/imrd/directdoc.asp?DDFDocuments/t/G/TBTN24/FRA234.DOCX", "https://docs.wto.org/imrd/directdoc.asp?DDFDocuments/t/G/TBTN24/FRA234.DOCX")</f>
      </c>
      <c r="P870" s="6">
        <f>HYPERLINK("https://docs.wto.org/imrd/directdoc.asp?DDFDocuments/u/G/TBTN24/FRA234.DOCX", "https://docs.wto.org/imrd/directdoc.asp?DDFDocuments/u/G/TBTN24/FRA234.DOCX")</f>
      </c>
      <c r="Q870" s="6">
        <f>HYPERLINK("https://docs.wto.org/imrd/directdoc.asp?DDFDocuments/v/G/TBTN24/FRA234.DOCX", "https://docs.wto.org/imrd/directdoc.asp?DDFDocuments/v/G/TBTN24/FRA234.DOCX")</f>
      </c>
    </row>
    <row r="871">
      <c r="A871" s="6" t="s">
        <v>3193</v>
      </c>
      <c r="B871" s="7">
        <v>45502</v>
      </c>
      <c r="C871" s="6">
        <f>HYPERLINK("https://eping.wto.org/en/Search?viewData= G/SPS/N/KAZ/175"," G/SPS/N/KAZ/175")</f>
      </c>
      <c r="D871" s="8" t="s">
        <v>3194</v>
      </c>
      <c r="E871" s="8" t="s">
        <v>3195</v>
      </c>
      <c r="F871" s="8" t="s">
        <v>1701</v>
      </c>
      <c r="G871" s="6" t="s">
        <v>40</v>
      </c>
      <c r="H871" s="6" t="s">
        <v>40</v>
      </c>
      <c r="I871" s="6" t="s">
        <v>353</v>
      </c>
      <c r="J871" s="6" t="s">
        <v>915</v>
      </c>
      <c r="K871" s="6" t="s">
        <v>40</v>
      </c>
      <c r="L871" s="7">
        <v>45562</v>
      </c>
      <c r="M871" s="6" t="s">
        <v>25</v>
      </c>
      <c r="N871" s="8" t="s">
        <v>3196</v>
      </c>
      <c r="O871" s="6">
        <f>HYPERLINK("https://docs.wto.org/imrd/directdoc.asp?DDFDocuments/t/G/SPS/NKAZ175.DOCX", "https://docs.wto.org/imrd/directdoc.asp?DDFDocuments/t/G/SPS/NKAZ175.DOCX")</f>
      </c>
      <c r="P871" s="6">
        <f>HYPERLINK("https://docs.wto.org/imrd/directdoc.asp?DDFDocuments/u/G/SPS/NKAZ175.DOCX", "https://docs.wto.org/imrd/directdoc.asp?DDFDocuments/u/G/SPS/NKAZ175.DOCX")</f>
      </c>
      <c r="Q871" s="6">
        <f>HYPERLINK("https://docs.wto.org/imrd/directdoc.asp?DDFDocuments/v/G/SPS/NKAZ175.DOCX", "https://docs.wto.org/imrd/directdoc.asp?DDFDocuments/v/G/SPS/NKAZ175.DOCX")</f>
      </c>
    </row>
    <row r="872">
      <c r="A872" s="6" t="s">
        <v>115</v>
      </c>
      <c r="B872" s="7">
        <v>45502</v>
      </c>
      <c r="C872" s="6">
        <f>HYPERLINK("https://eping.wto.org/en/Search?viewData= G/SPS/N/BRA/2223/Add.2"," G/SPS/N/BRA/2223/Add.2")</f>
      </c>
      <c r="D872" s="8" t="s">
        <v>3197</v>
      </c>
      <c r="E872" s="8" t="s">
        <v>3198</v>
      </c>
      <c r="F872" s="8" t="s">
        <v>3199</v>
      </c>
      <c r="G872" s="6" t="s">
        <v>2617</v>
      </c>
      <c r="H872" s="6" t="s">
        <v>40</v>
      </c>
      <c r="I872" s="6" t="s">
        <v>369</v>
      </c>
      <c r="J872" s="6" t="s">
        <v>3200</v>
      </c>
      <c r="K872" s="6"/>
      <c r="L872" s="7" t="s">
        <v>40</v>
      </c>
      <c r="M872" s="6" t="s">
        <v>76</v>
      </c>
      <c r="N872" s="8" t="s">
        <v>3201</v>
      </c>
      <c r="O872" s="6">
        <f>HYPERLINK("https://docs.wto.org/imrd/directdoc.asp?DDFDocuments/t/G/SPS/NBRA2223A2.DOCX", "https://docs.wto.org/imrd/directdoc.asp?DDFDocuments/t/G/SPS/NBRA2223A2.DOCX")</f>
      </c>
      <c r="P872" s="6">
        <f>HYPERLINK("https://docs.wto.org/imrd/directdoc.asp?DDFDocuments/u/G/SPS/NBRA2223A2.DOCX", "https://docs.wto.org/imrd/directdoc.asp?DDFDocuments/u/G/SPS/NBRA2223A2.DOCX")</f>
      </c>
      <c r="Q872" s="6">
        <f>HYPERLINK("https://docs.wto.org/imrd/directdoc.asp?DDFDocuments/v/G/SPS/NBRA2223A2.DOCX", "https://docs.wto.org/imrd/directdoc.asp?DDFDocuments/v/G/SPS/NBRA2223A2.DOCX")</f>
      </c>
    </row>
    <row r="873">
      <c r="A873" s="6" t="s">
        <v>99</v>
      </c>
      <c r="B873" s="7">
        <v>45502</v>
      </c>
      <c r="C873" s="6">
        <f>HYPERLINK("https://eping.wto.org/en/Search?viewData= G/SPS/N/AUS/592"," G/SPS/N/AUS/592")</f>
      </c>
      <c r="D873" s="8" t="s">
        <v>3018</v>
      </c>
      <c r="E873" s="8" t="s">
        <v>3019</v>
      </c>
      <c r="F873" s="8" t="s">
        <v>3202</v>
      </c>
      <c r="G873" s="6" t="s">
        <v>40</v>
      </c>
      <c r="H873" s="6" t="s">
        <v>40</v>
      </c>
      <c r="I873" s="6" t="s">
        <v>38</v>
      </c>
      <c r="J873" s="6" t="s">
        <v>60</v>
      </c>
      <c r="K873" s="6" t="s">
        <v>40</v>
      </c>
      <c r="L873" s="7">
        <v>45562</v>
      </c>
      <c r="M873" s="6" t="s">
        <v>25</v>
      </c>
      <c r="N873" s="8" t="s">
        <v>3169</v>
      </c>
      <c r="O873" s="6">
        <f>HYPERLINK("https://docs.wto.org/imrd/directdoc.asp?DDFDocuments/t/G/SPS/NAUS592.DOCX", "https://docs.wto.org/imrd/directdoc.asp?DDFDocuments/t/G/SPS/NAUS592.DOCX")</f>
      </c>
      <c r="P873" s="6">
        <f>HYPERLINK("https://docs.wto.org/imrd/directdoc.asp?DDFDocuments/u/G/SPS/NAUS592.DOCX", "https://docs.wto.org/imrd/directdoc.asp?DDFDocuments/u/G/SPS/NAUS592.DOCX")</f>
      </c>
      <c r="Q873" s="6">
        <f>HYPERLINK("https://docs.wto.org/imrd/directdoc.asp?DDFDocuments/v/G/SPS/NAUS592.DOCX", "https://docs.wto.org/imrd/directdoc.asp?DDFDocuments/v/G/SPS/NAUS592.DOCX")</f>
      </c>
    </row>
    <row r="874">
      <c r="A874" s="6" t="s">
        <v>392</v>
      </c>
      <c r="B874" s="7">
        <v>45502</v>
      </c>
      <c r="C874" s="6">
        <f>HYPERLINK("https://eping.wto.org/en/Search?viewData= G/SPS/N/SAU/537"," G/SPS/N/SAU/537")</f>
      </c>
      <c r="D874" s="8" t="s">
        <v>3203</v>
      </c>
      <c r="E874" s="8" t="s">
        <v>3204</v>
      </c>
      <c r="F874" s="8" t="s">
        <v>1008</v>
      </c>
      <c r="G874" s="6" t="s">
        <v>1009</v>
      </c>
      <c r="H874" s="6" t="s">
        <v>40</v>
      </c>
      <c r="I874" s="6" t="s">
        <v>791</v>
      </c>
      <c r="J874" s="6" t="s">
        <v>3205</v>
      </c>
      <c r="K874" s="6" t="s">
        <v>115</v>
      </c>
      <c r="L874" s="7" t="s">
        <v>40</v>
      </c>
      <c r="M874" s="6" t="s">
        <v>356</v>
      </c>
      <c r="N874" s="8" t="s">
        <v>3206</v>
      </c>
      <c r="O874" s="6">
        <f>HYPERLINK("https://docs.wto.org/imrd/directdoc.asp?DDFDocuments/t/G/SPS/NSAU537.DOCX", "https://docs.wto.org/imrd/directdoc.asp?DDFDocuments/t/G/SPS/NSAU537.DOCX")</f>
      </c>
      <c r="P874" s="6">
        <f>HYPERLINK("https://docs.wto.org/imrd/directdoc.asp?DDFDocuments/u/G/SPS/NSAU537.DOCX", "https://docs.wto.org/imrd/directdoc.asp?DDFDocuments/u/G/SPS/NSAU537.DOCX")</f>
      </c>
      <c r="Q874" s="6">
        <f>HYPERLINK("https://docs.wto.org/imrd/directdoc.asp?DDFDocuments/v/G/SPS/NSAU537.DOCX", "https://docs.wto.org/imrd/directdoc.asp?DDFDocuments/v/G/SPS/NSAU537.DOCX")</f>
      </c>
    </row>
    <row r="875">
      <c r="A875" s="6" t="s">
        <v>515</v>
      </c>
      <c r="B875" s="7">
        <v>45502</v>
      </c>
      <c r="C875" s="6">
        <f>HYPERLINK("https://eping.wto.org/en/Search?viewData= G/SPS/N/EU/759/Add.1"," G/SPS/N/EU/759/Add.1")</f>
      </c>
      <c r="D875" s="8" t="s">
        <v>3207</v>
      </c>
      <c r="E875" s="8" t="s">
        <v>3208</v>
      </c>
      <c r="F875" s="8" t="s">
        <v>3209</v>
      </c>
      <c r="G875" s="6" t="s">
        <v>3210</v>
      </c>
      <c r="H875" s="6" t="s">
        <v>40</v>
      </c>
      <c r="I875" s="6" t="s">
        <v>369</v>
      </c>
      <c r="J875" s="6" t="s">
        <v>2618</v>
      </c>
      <c r="K875" s="6"/>
      <c r="L875" s="7" t="s">
        <v>40</v>
      </c>
      <c r="M875" s="6" t="s">
        <v>76</v>
      </c>
      <c r="N875" s="8" t="s">
        <v>3211</v>
      </c>
      <c r="O875" s="6">
        <f>HYPERLINK("https://docs.wto.org/imrd/directdoc.asp?DDFDocuments/t/G/SPS/NEU759A1.DOCX", "https://docs.wto.org/imrd/directdoc.asp?DDFDocuments/t/G/SPS/NEU759A1.DOCX")</f>
      </c>
      <c r="P875" s="6">
        <f>HYPERLINK("https://docs.wto.org/imrd/directdoc.asp?DDFDocuments/u/G/SPS/NEU759A1.DOCX", "https://docs.wto.org/imrd/directdoc.asp?DDFDocuments/u/G/SPS/NEU759A1.DOCX")</f>
      </c>
      <c r="Q875" s="6">
        <f>HYPERLINK("https://docs.wto.org/imrd/directdoc.asp?DDFDocuments/v/G/SPS/NEU759A1.DOCX", "https://docs.wto.org/imrd/directdoc.asp?DDFDocuments/v/G/SPS/NEU759A1.DOCX")</f>
      </c>
    </row>
    <row r="876">
      <c r="A876" s="6" t="s">
        <v>515</v>
      </c>
      <c r="B876" s="7">
        <v>45502</v>
      </c>
      <c r="C876" s="6">
        <f>HYPERLINK("https://eping.wto.org/en/Search?viewData= G/SPS/N/EU/717/Corr.1"," G/SPS/N/EU/717/Corr.1")</f>
      </c>
      <c r="D876" s="8" t="s">
        <v>3212</v>
      </c>
      <c r="E876" s="8" t="s">
        <v>3213</v>
      </c>
      <c r="F876" s="8" t="s">
        <v>3214</v>
      </c>
      <c r="G876" s="6" t="s">
        <v>3047</v>
      </c>
      <c r="H876" s="6" t="s">
        <v>40</v>
      </c>
      <c r="I876" s="6" t="s">
        <v>827</v>
      </c>
      <c r="J876" s="6" t="s">
        <v>3215</v>
      </c>
      <c r="K876" s="6"/>
      <c r="L876" s="7" t="s">
        <v>40</v>
      </c>
      <c r="M876" s="6" t="s">
        <v>224</v>
      </c>
      <c r="N876" s="8" t="s">
        <v>3216</v>
      </c>
      <c r="O876" s="6">
        <f>HYPERLINK("https://docs.wto.org/imrd/directdoc.asp?DDFDocuments/t/G/SPS/NEU717C1.DOCX", "https://docs.wto.org/imrd/directdoc.asp?DDFDocuments/t/G/SPS/NEU717C1.DOCX")</f>
      </c>
      <c r="P876" s="6">
        <f>HYPERLINK("https://docs.wto.org/imrd/directdoc.asp?DDFDocuments/u/G/SPS/NEU717C1.DOCX", "https://docs.wto.org/imrd/directdoc.asp?DDFDocuments/u/G/SPS/NEU717C1.DOCX")</f>
      </c>
      <c r="Q876" s="6">
        <f>HYPERLINK("https://docs.wto.org/imrd/directdoc.asp?DDFDocuments/v/G/SPS/NEU717C1.DOCX", "https://docs.wto.org/imrd/directdoc.asp?DDFDocuments/v/G/SPS/NEU717C1.DOCX")</f>
      </c>
    </row>
    <row r="877">
      <c r="A877" s="6" t="s">
        <v>129</v>
      </c>
      <c r="B877" s="7">
        <v>45499</v>
      </c>
      <c r="C877" s="6">
        <f>HYPERLINK("https://eping.wto.org/en/Search?viewData= G/TBT/N/IND/332"," G/TBT/N/IND/332")</f>
      </c>
      <c r="D877" s="8" t="s">
        <v>3217</v>
      </c>
      <c r="E877" s="8" t="s">
        <v>3218</v>
      </c>
      <c r="F877" s="8" t="s">
        <v>3219</v>
      </c>
      <c r="G877" s="6" t="s">
        <v>3220</v>
      </c>
      <c r="H877" s="6" t="s">
        <v>40</v>
      </c>
      <c r="I877" s="6" t="s">
        <v>213</v>
      </c>
      <c r="J877" s="6" t="s">
        <v>40</v>
      </c>
      <c r="K877" s="6"/>
      <c r="L877" s="7">
        <v>45559</v>
      </c>
      <c r="M877" s="6" t="s">
        <v>25</v>
      </c>
      <c r="N877" s="8" t="s">
        <v>3221</v>
      </c>
      <c r="O877" s="6">
        <f>HYPERLINK("https://docs.wto.org/imrd/directdoc.asp?DDFDocuments/t/G/TBTN24/IND332.DOCX", "https://docs.wto.org/imrd/directdoc.asp?DDFDocuments/t/G/TBTN24/IND332.DOCX")</f>
      </c>
      <c r="P877" s="6">
        <f>HYPERLINK("https://docs.wto.org/imrd/directdoc.asp?DDFDocuments/u/G/TBTN24/IND332.DOCX", "https://docs.wto.org/imrd/directdoc.asp?DDFDocuments/u/G/TBTN24/IND332.DOCX")</f>
      </c>
      <c r="Q877" s="6">
        <f>HYPERLINK("https://docs.wto.org/imrd/directdoc.asp?DDFDocuments/v/G/TBTN24/IND332.DOCX", "https://docs.wto.org/imrd/directdoc.asp?DDFDocuments/v/G/TBTN24/IND332.DOCX")</f>
      </c>
    </row>
    <row r="878">
      <c r="A878" s="6" t="s">
        <v>373</v>
      </c>
      <c r="B878" s="7">
        <v>45499</v>
      </c>
      <c r="C878" s="6">
        <f>HYPERLINK("https://eping.wto.org/en/Search?viewData= G/TBT/N/ISR/1355"," G/TBT/N/ISR/1355")</f>
      </c>
      <c r="D878" s="8" t="s">
        <v>3222</v>
      </c>
      <c r="E878" s="8" t="s">
        <v>3223</v>
      </c>
      <c r="F878" s="8" t="s">
        <v>3224</v>
      </c>
      <c r="G878" s="6" t="s">
        <v>3225</v>
      </c>
      <c r="H878" s="6" t="s">
        <v>3226</v>
      </c>
      <c r="I878" s="6" t="s">
        <v>1941</v>
      </c>
      <c r="J878" s="6" t="s">
        <v>40</v>
      </c>
      <c r="K878" s="6"/>
      <c r="L878" s="7">
        <v>45559</v>
      </c>
      <c r="M878" s="6" t="s">
        <v>25</v>
      </c>
      <c r="N878" s="8" t="s">
        <v>3227</v>
      </c>
      <c r="O878" s="6">
        <f>HYPERLINK("https://docs.wto.org/imrd/directdoc.asp?DDFDocuments/t/G/TBTN24/ISR1355.DOCX", "https://docs.wto.org/imrd/directdoc.asp?DDFDocuments/t/G/TBTN24/ISR1355.DOCX")</f>
      </c>
      <c r="P878" s="6">
        <f>HYPERLINK("https://docs.wto.org/imrd/directdoc.asp?DDFDocuments/u/G/TBTN24/ISR1355.DOCX", "https://docs.wto.org/imrd/directdoc.asp?DDFDocuments/u/G/TBTN24/ISR1355.DOCX")</f>
      </c>
      <c r="Q878" s="6">
        <f>HYPERLINK("https://docs.wto.org/imrd/directdoc.asp?DDFDocuments/v/G/TBTN24/ISR1355.DOCX", "https://docs.wto.org/imrd/directdoc.asp?DDFDocuments/v/G/TBTN24/ISR1355.DOCX")</f>
      </c>
    </row>
    <row r="879">
      <c r="A879" s="6" t="s">
        <v>343</v>
      </c>
      <c r="B879" s="7">
        <v>45499</v>
      </c>
      <c r="C879" s="6">
        <f>HYPERLINK("https://eping.wto.org/en/Search?viewData= G/TBT/N/BHR/703"," G/TBT/N/BHR/703")</f>
      </c>
      <c r="D879" s="8" t="s">
        <v>3228</v>
      </c>
      <c r="E879" s="8" t="s">
        <v>3229</v>
      </c>
      <c r="F879" s="8" t="s">
        <v>3230</v>
      </c>
      <c r="G879" s="6" t="s">
        <v>40</v>
      </c>
      <c r="H879" s="6" t="s">
        <v>3231</v>
      </c>
      <c r="I879" s="6" t="s">
        <v>142</v>
      </c>
      <c r="J879" s="6" t="s">
        <v>40</v>
      </c>
      <c r="K879" s="6"/>
      <c r="L879" s="7">
        <v>45559</v>
      </c>
      <c r="M879" s="6" t="s">
        <v>25</v>
      </c>
      <c r="N879" s="8" t="s">
        <v>3232</v>
      </c>
      <c r="O879" s="6">
        <f>HYPERLINK("https://docs.wto.org/imrd/directdoc.asp?DDFDocuments/t/G/TBTN24/BHR703.DOCX", "https://docs.wto.org/imrd/directdoc.asp?DDFDocuments/t/G/TBTN24/BHR703.DOCX")</f>
      </c>
      <c r="P879" s="6">
        <f>HYPERLINK("https://docs.wto.org/imrd/directdoc.asp?DDFDocuments/u/G/TBTN24/BHR703.DOCX", "https://docs.wto.org/imrd/directdoc.asp?DDFDocuments/u/G/TBTN24/BHR703.DOCX")</f>
      </c>
      <c r="Q879" s="6">
        <f>HYPERLINK("https://docs.wto.org/imrd/directdoc.asp?DDFDocuments/v/G/TBTN24/BHR703.DOCX", "https://docs.wto.org/imrd/directdoc.asp?DDFDocuments/v/G/TBTN24/BHR703.DOCX")</f>
      </c>
    </row>
    <row r="880">
      <c r="A880" s="6" t="s">
        <v>115</v>
      </c>
      <c r="B880" s="7">
        <v>45499</v>
      </c>
      <c r="C880" s="6">
        <f>HYPERLINK("https://eping.wto.org/en/Search?viewData= G/TBT/N/BRA/1560"," G/TBT/N/BRA/1560")</f>
      </c>
      <c r="D880" s="8" t="s">
        <v>3233</v>
      </c>
      <c r="E880" s="8" t="s">
        <v>3234</v>
      </c>
      <c r="F880" s="8" t="s">
        <v>3235</v>
      </c>
      <c r="G880" s="6" t="s">
        <v>3236</v>
      </c>
      <c r="H880" s="6" t="s">
        <v>40</v>
      </c>
      <c r="I880" s="6" t="s">
        <v>142</v>
      </c>
      <c r="J880" s="6" t="s">
        <v>1095</v>
      </c>
      <c r="K880" s="6"/>
      <c r="L880" s="7" t="s">
        <v>40</v>
      </c>
      <c r="M880" s="6" t="s">
        <v>25</v>
      </c>
      <c r="N880" s="8" t="s">
        <v>3237</v>
      </c>
      <c r="O880" s="6">
        <f>HYPERLINK("https://docs.wto.org/imrd/directdoc.asp?DDFDocuments/t/G/TBTN24/BRA1560.DOCX", "https://docs.wto.org/imrd/directdoc.asp?DDFDocuments/t/G/TBTN24/BRA1560.DOCX")</f>
      </c>
      <c r="P880" s="6">
        <f>HYPERLINK("https://docs.wto.org/imrd/directdoc.asp?DDFDocuments/u/G/TBTN24/BRA1560.DOCX", "https://docs.wto.org/imrd/directdoc.asp?DDFDocuments/u/G/TBTN24/BRA1560.DOCX")</f>
      </c>
      <c r="Q880" s="6">
        <f>HYPERLINK("https://docs.wto.org/imrd/directdoc.asp?DDFDocuments/v/G/TBTN24/BRA1560.DOCX", "https://docs.wto.org/imrd/directdoc.asp?DDFDocuments/v/G/TBTN24/BRA1560.DOCX")</f>
      </c>
    </row>
    <row r="881">
      <c r="A881" s="6" t="s">
        <v>129</v>
      </c>
      <c r="B881" s="7">
        <v>45499</v>
      </c>
      <c r="C881" s="6">
        <f>HYPERLINK("https://eping.wto.org/en/Search?viewData= G/TBT/N/IND/331"," G/TBT/N/IND/331")</f>
      </c>
      <c r="D881" s="8" t="s">
        <v>3074</v>
      </c>
      <c r="E881" s="8" t="s">
        <v>3238</v>
      </c>
      <c r="F881" s="8" t="s">
        <v>3075</v>
      </c>
      <c r="G881" s="6" t="s">
        <v>3239</v>
      </c>
      <c r="H881" s="6" t="s">
        <v>40</v>
      </c>
      <c r="I881" s="6" t="s">
        <v>213</v>
      </c>
      <c r="J881" s="6" t="s">
        <v>40</v>
      </c>
      <c r="K881" s="6"/>
      <c r="L881" s="7">
        <v>45559</v>
      </c>
      <c r="M881" s="6" t="s">
        <v>25</v>
      </c>
      <c r="N881" s="6"/>
      <c r="O881" s="6">
        <f>HYPERLINK("https://docs.wto.org/imrd/directdoc.asp?DDFDocuments/t/G/TBTN24/IND331.DOCX", "https://docs.wto.org/imrd/directdoc.asp?DDFDocuments/t/G/TBTN24/IND331.DOCX")</f>
      </c>
      <c r="P881" s="6">
        <f>HYPERLINK("https://docs.wto.org/imrd/directdoc.asp?DDFDocuments/u/G/TBTN24/IND331.DOCX", "https://docs.wto.org/imrd/directdoc.asp?DDFDocuments/u/G/TBTN24/IND331.DOCX")</f>
      </c>
      <c r="Q881" s="6">
        <f>HYPERLINK("https://docs.wto.org/imrd/directdoc.asp?DDFDocuments/v/G/TBTN24/IND331.DOCX", "https://docs.wto.org/imrd/directdoc.asp?DDFDocuments/v/G/TBTN24/IND331.DOCX")</f>
      </c>
    </row>
    <row r="882">
      <c r="A882" s="6" t="s">
        <v>136</v>
      </c>
      <c r="B882" s="7">
        <v>45499</v>
      </c>
      <c r="C882" s="6">
        <f>HYPERLINK("https://eping.wto.org/en/Search?viewData= G/TBT/N/PER/162"," G/TBT/N/PER/162")</f>
      </c>
      <c r="D882" s="8" t="s">
        <v>3240</v>
      </c>
      <c r="E882" s="8" t="s">
        <v>3241</v>
      </c>
      <c r="F882" s="8" t="s">
        <v>3242</v>
      </c>
      <c r="G882" s="6" t="s">
        <v>3243</v>
      </c>
      <c r="H882" s="6" t="s">
        <v>40</v>
      </c>
      <c r="I882" s="6" t="s">
        <v>147</v>
      </c>
      <c r="J882" s="6" t="s">
        <v>24</v>
      </c>
      <c r="K882" s="6"/>
      <c r="L882" s="7">
        <v>45559</v>
      </c>
      <c r="M882" s="6" t="s">
        <v>25</v>
      </c>
      <c r="N882" s="8" t="s">
        <v>3244</v>
      </c>
      <c r="O882" s="6">
        <f>HYPERLINK("https://docs.wto.org/imrd/directdoc.asp?DDFDocuments/t/G/TBTN24/PER162.DOCX", "https://docs.wto.org/imrd/directdoc.asp?DDFDocuments/t/G/TBTN24/PER162.DOCX")</f>
      </c>
      <c r="P882" s="6">
        <f>HYPERLINK("https://docs.wto.org/imrd/directdoc.asp?DDFDocuments/u/G/TBTN24/PER162.DOCX", "https://docs.wto.org/imrd/directdoc.asp?DDFDocuments/u/G/TBTN24/PER162.DOCX")</f>
      </c>
      <c r="Q882" s="6">
        <f>HYPERLINK("https://docs.wto.org/imrd/directdoc.asp?DDFDocuments/v/G/TBTN24/PER162.DOCX", "https://docs.wto.org/imrd/directdoc.asp?DDFDocuments/v/G/TBTN24/PER162.DOCX")</f>
      </c>
    </row>
    <row r="883">
      <c r="A883" s="6" t="s">
        <v>99</v>
      </c>
      <c r="B883" s="7">
        <v>45499</v>
      </c>
      <c r="C883" s="6">
        <f>HYPERLINK("https://eping.wto.org/en/Search?viewData= G/TBT/N/AUS/159/Add.1"," G/TBT/N/AUS/159/Add.1")</f>
      </c>
      <c r="D883" s="8" t="s">
        <v>3245</v>
      </c>
      <c r="E883" s="8" t="s">
        <v>3246</v>
      </c>
      <c r="F883" s="8" t="s">
        <v>3247</v>
      </c>
      <c r="G883" s="6" t="s">
        <v>3248</v>
      </c>
      <c r="H883" s="6" t="s">
        <v>3249</v>
      </c>
      <c r="I883" s="6" t="s">
        <v>147</v>
      </c>
      <c r="J883" s="6" t="s">
        <v>40</v>
      </c>
      <c r="K883" s="6"/>
      <c r="L883" s="7" t="s">
        <v>40</v>
      </c>
      <c r="M883" s="6" t="s">
        <v>76</v>
      </c>
      <c r="N883" s="8" t="s">
        <v>3250</v>
      </c>
      <c r="O883" s="6">
        <f>HYPERLINK("https://docs.wto.org/imrd/directdoc.asp?DDFDocuments/t/G/TBTN23/AUS159A1.DOCX", "https://docs.wto.org/imrd/directdoc.asp?DDFDocuments/t/G/TBTN23/AUS159A1.DOCX")</f>
      </c>
      <c r="P883" s="6">
        <f>HYPERLINK("https://docs.wto.org/imrd/directdoc.asp?DDFDocuments/u/G/TBTN23/AUS159A1.DOCX", "https://docs.wto.org/imrd/directdoc.asp?DDFDocuments/u/G/TBTN23/AUS159A1.DOCX")</f>
      </c>
      <c r="Q883" s="6">
        <f>HYPERLINK("https://docs.wto.org/imrd/directdoc.asp?DDFDocuments/v/G/TBTN23/AUS159A1.DOCX", "https://docs.wto.org/imrd/directdoc.asp?DDFDocuments/v/G/TBTN23/AUS159A1.DOCX")</f>
      </c>
    </row>
    <row r="884">
      <c r="A884" s="6" t="s">
        <v>129</v>
      </c>
      <c r="B884" s="7">
        <v>45499</v>
      </c>
      <c r="C884" s="6">
        <f>HYPERLINK("https://eping.wto.org/en/Search?viewData= G/TBT/N/IND/333"," G/TBT/N/IND/333")</f>
      </c>
      <c r="D884" s="8" t="s">
        <v>3251</v>
      </c>
      <c r="E884" s="8" t="s">
        <v>3252</v>
      </c>
      <c r="F884" s="8" t="s">
        <v>3253</v>
      </c>
      <c r="G884" s="6" t="s">
        <v>3254</v>
      </c>
      <c r="H884" s="6" t="s">
        <v>40</v>
      </c>
      <c r="I884" s="6" t="s">
        <v>213</v>
      </c>
      <c r="J884" s="6" t="s">
        <v>40</v>
      </c>
      <c r="K884" s="6"/>
      <c r="L884" s="7">
        <v>45559</v>
      </c>
      <c r="M884" s="6" t="s">
        <v>25</v>
      </c>
      <c r="N884" s="8" t="s">
        <v>3255</v>
      </c>
      <c r="O884" s="6">
        <f>HYPERLINK("https://docs.wto.org/imrd/directdoc.asp?DDFDocuments/t/G/TBTN24/IND333.DOCX", "https://docs.wto.org/imrd/directdoc.asp?DDFDocuments/t/G/TBTN24/IND333.DOCX")</f>
      </c>
      <c r="P884" s="6">
        <f>HYPERLINK("https://docs.wto.org/imrd/directdoc.asp?DDFDocuments/u/G/TBTN24/IND333.DOCX", "https://docs.wto.org/imrd/directdoc.asp?DDFDocuments/u/G/TBTN24/IND333.DOCX")</f>
      </c>
      <c r="Q884" s="6">
        <f>HYPERLINK("https://docs.wto.org/imrd/directdoc.asp?DDFDocuments/v/G/TBTN24/IND333.DOCX", "https://docs.wto.org/imrd/directdoc.asp?DDFDocuments/v/G/TBTN24/IND333.DOCX")</f>
      </c>
    </row>
    <row r="885">
      <c r="A885" s="6" t="s">
        <v>348</v>
      </c>
      <c r="B885" s="7">
        <v>45499</v>
      </c>
      <c r="C885" s="6">
        <f>HYPERLINK("https://eping.wto.org/en/Search?viewData= G/SPS/N/RUS/286"," G/SPS/N/RUS/286")</f>
      </c>
      <c r="D885" s="8" t="s">
        <v>3256</v>
      </c>
      <c r="E885" s="8" t="s">
        <v>3257</v>
      </c>
      <c r="F885" s="8" t="s">
        <v>3258</v>
      </c>
      <c r="G885" s="6" t="s">
        <v>3259</v>
      </c>
      <c r="H885" s="6" t="s">
        <v>40</v>
      </c>
      <c r="I885" s="6" t="s">
        <v>353</v>
      </c>
      <c r="J885" s="6" t="s">
        <v>3260</v>
      </c>
      <c r="K885" s="6" t="s">
        <v>160</v>
      </c>
      <c r="L885" s="7" t="s">
        <v>40</v>
      </c>
      <c r="M885" s="6" t="s">
        <v>356</v>
      </c>
      <c r="N885" s="8" t="s">
        <v>3261</v>
      </c>
      <c r="O885" s="6">
        <f>HYPERLINK("https://docs.wto.org/imrd/directdoc.asp?DDFDocuments/t/G/SPS/NRUS286.DOCX", "https://docs.wto.org/imrd/directdoc.asp?DDFDocuments/t/G/SPS/NRUS286.DOCX")</f>
      </c>
      <c r="P885" s="6">
        <f>HYPERLINK("https://docs.wto.org/imrd/directdoc.asp?DDFDocuments/u/G/SPS/NRUS286.DOCX", "https://docs.wto.org/imrd/directdoc.asp?DDFDocuments/u/G/SPS/NRUS286.DOCX")</f>
      </c>
      <c r="Q885" s="6">
        <f>HYPERLINK("https://docs.wto.org/imrd/directdoc.asp?DDFDocuments/v/G/SPS/NRUS286.DOCX", "https://docs.wto.org/imrd/directdoc.asp?DDFDocuments/v/G/SPS/NRUS286.DOCX")</f>
      </c>
    </row>
    <row r="886">
      <c r="A886" s="6" t="s">
        <v>515</v>
      </c>
      <c r="B886" s="7">
        <v>45499</v>
      </c>
      <c r="C886" s="6">
        <f>HYPERLINK("https://eping.wto.org/en/Search?viewData= G/TBT/N/EU/1077"," G/TBT/N/EU/1077")</f>
      </c>
      <c r="D886" s="8" t="s">
        <v>3262</v>
      </c>
      <c r="E886" s="8" t="s">
        <v>3263</v>
      </c>
      <c r="F886" s="8" t="s">
        <v>3264</v>
      </c>
      <c r="G886" s="6" t="s">
        <v>40</v>
      </c>
      <c r="H886" s="6" t="s">
        <v>212</v>
      </c>
      <c r="I886" s="6" t="s">
        <v>1335</v>
      </c>
      <c r="J886" s="6" t="s">
        <v>40</v>
      </c>
      <c r="K886" s="6"/>
      <c r="L886" s="7">
        <v>45559</v>
      </c>
      <c r="M886" s="6" t="s">
        <v>25</v>
      </c>
      <c r="N886" s="8" t="s">
        <v>3265</v>
      </c>
      <c r="O886" s="6">
        <f>HYPERLINK("https://docs.wto.org/imrd/directdoc.asp?DDFDocuments/t/G/TBTN24/EU1077.DOCX", "https://docs.wto.org/imrd/directdoc.asp?DDFDocuments/t/G/TBTN24/EU1077.DOCX")</f>
      </c>
      <c r="P886" s="6">
        <f>HYPERLINK("https://docs.wto.org/imrd/directdoc.asp?DDFDocuments/u/G/TBTN24/EU1077.DOCX", "https://docs.wto.org/imrd/directdoc.asp?DDFDocuments/u/G/TBTN24/EU1077.DOCX")</f>
      </c>
      <c r="Q886" s="6">
        <f>HYPERLINK("https://docs.wto.org/imrd/directdoc.asp?DDFDocuments/v/G/TBTN24/EU1077.DOCX", "https://docs.wto.org/imrd/directdoc.asp?DDFDocuments/v/G/TBTN24/EU1077.DOCX")</f>
      </c>
    </row>
    <row r="887">
      <c r="A887" s="6" t="s">
        <v>17</v>
      </c>
      <c r="B887" s="7">
        <v>45499</v>
      </c>
      <c r="C887" s="6">
        <f>HYPERLINK("https://eping.wto.org/en/Search?viewData= G/TBT/N/KEN/1644"," G/TBT/N/KEN/1644")</f>
      </c>
      <c r="D887" s="8" t="s">
        <v>3266</v>
      </c>
      <c r="E887" s="8" t="s">
        <v>3267</v>
      </c>
      <c r="F887" s="8" t="s">
        <v>3268</v>
      </c>
      <c r="G887" s="6" t="s">
        <v>3269</v>
      </c>
      <c r="H887" s="6" t="s">
        <v>3270</v>
      </c>
      <c r="I887" s="6" t="s">
        <v>3271</v>
      </c>
      <c r="J887" s="6" t="s">
        <v>40</v>
      </c>
      <c r="K887" s="6"/>
      <c r="L887" s="7">
        <v>45559</v>
      </c>
      <c r="M887" s="6" t="s">
        <v>25</v>
      </c>
      <c r="N887" s="8" t="s">
        <v>3272</v>
      </c>
      <c r="O887" s="6">
        <f>HYPERLINK("https://docs.wto.org/imrd/directdoc.asp?DDFDocuments/t/G/TBTN24/KEN1644.DOCX", "https://docs.wto.org/imrd/directdoc.asp?DDFDocuments/t/G/TBTN24/KEN1644.DOCX")</f>
      </c>
      <c r="P887" s="6">
        <f>HYPERLINK("https://docs.wto.org/imrd/directdoc.asp?DDFDocuments/u/G/TBTN24/KEN1644.DOCX", "https://docs.wto.org/imrd/directdoc.asp?DDFDocuments/u/G/TBTN24/KEN1644.DOCX")</f>
      </c>
      <c r="Q887" s="6">
        <f>HYPERLINK("https://docs.wto.org/imrd/directdoc.asp?DDFDocuments/v/G/TBTN24/KEN1644.DOCX", "https://docs.wto.org/imrd/directdoc.asp?DDFDocuments/v/G/TBTN24/KEN1644.DOCX")</f>
      </c>
    </row>
    <row r="888">
      <c r="A888" s="6" t="s">
        <v>115</v>
      </c>
      <c r="B888" s="7">
        <v>45498</v>
      </c>
      <c r="C888" s="6">
        <f>HYPERLINK("https://eping.wto.org/en/Search?viewData= G/SPS/N/BRA/2316"," G/SPS/N/BRA/2316")</f>
      </c>
      <c r="D888" s="8" t="s">
        <v>3273</v>
      </c>
      <c r="E888" s="8" t="s">
        <v>3274</v>
      </c>
      <c r="F888" s="8" t="s">
        <v>233</v>
      </c>
      <c r="G888" s="6" t="s">
        <v>40</v>
      </c>
      <c r="H888" s="6" t="s">
        <v>234</v>
      </c>
      <c r="I888" s="6" t="s">
        <v>38</v>
      </c>
      <c r="J888" s="6" t="s">
        <v>60</v>
      </c>
      <c r="K888" s="6"/>
      <c r="L888" s="7">
        <v>45549</v>
      </c>
      <c r="M888" s="6" t="s">
        <v>25</v>
      </c>
      <c r="N888" s="8" t="s">
        <v>3275</v>
      </c>
      <c r="O888" s="6">
        <f>HYPERLINK("https://docs.wto.org/imrd/directdoc.asp?DDFDocuments/t/G/SPS/NBRA2316.DOCX", "https://docs.wto.org/imrd/directdoc.asp?DDFDocuments/t/G/SPS/NBRA2316.DOCX")</f>
      </c>
      <c r="P888" s="6">
        <f>HYPERLINK("https://docs.wto.org/imrd/directdoc.asp?DDFDocuments/u/G/SPS/NBRA2316.DOCX", "https://docs.wto.org/imrd/directdoc.asp?DDFDocuments/u/G/SPS/NBRA2316.DOCX")</f>
      </c>
      <c r="Q888" s="6">
        <f>HYPERLINK("https://docs.wto.org/imrd/directdoc.asp?DDFDocuments/v/G/SPS/NBRA2316.DOCX", "https://docs.wto.org/imrd/directdoc.asp?DDFDocuments/v/G/SPS/NBRA2316.DOCX")</f>
      </c>
    </row>
    <row r="889">
      <c r="A889" s="6" t="s">
        <v>2030</v>
      </c>
      <c r="B889" s="7">
        <v>45498</v>
      </c>
      <c r="C889" s="6">
        <f>HYPERLINK("https://eping.wto.org/en/Search?viewData= G/TBT/N/BDI/402/Add.1, G/TBT/N/KEN/1497/Add.1, G/TBT/N/RWA/926/Add.1, G/TBT/N/TZA/1030/Add.1, G/TBT/N/UGA/1837/Add.1"," G/TBT/N/BDI/402/Add.1, G/TBT/N/KEN/1497/Add.1, G/TBT/N/RWA/926/Add.1, G/TBT/N/TZA/1030/Add.1, G/TBT/N/UGA/1837/Add.1")</f>
      </c>
      <c r="D889" s="8" t="s">
        <v>3276</v>
      </c>
      <c r="E889" s="8" t="s">
        <v>3277</v>
      </c>
      <c r="F889" s="8" t="s">
        <v>3278</v>
      </c>
      <c r="G889" s="6" t="s">
        <v>3279</v>
      </c>
      <c r="H889" s="6" t="s">
        <v>3036</v>
      </c>
      <c r="I889" s="6" t="s">
        <v>3280</v>
      </c>
      <c r="J889" s="6" t="s">
        <v>122</v>
      </c>
      <c r="K889" s="6"/>
      <c r="L889" s="7" t="s">
        <v>40</v>
      </c>
      <c r="M889" s="6" t="s">
        <v>76</v>
      </c>
      <c r="N889" s="6"/>
      <c r="O889" s="6">
        <f>HYPERLINK("https://docs.wto.org/imrd/directdoc.asp?DDFDocuments/t/G/TBTN23/BDI402A1.DOCX", "https://docs.wto.org/imrd/directdoc.asp?DDFDocuments/t/G/TBTN23/BDI402A1.DOCX")</f>
      </c>
      <c r="P889" s="6">
        <f>HYPERLINK("https://docs.wto.org/imrd/directdoc.asp?DDFDocuments/u/G/TBTN23/BDI402A1.DOCX", "https://docs.wto.org/imrd/directdoc.asp?DDFDocuments/u/G/TBTN23/BDI402A1.DOCX")</f>
      </c>
      <c r="Q889" s="6">
        <f>HYPERLINK("https://docs.wto.org/imrd/directdoc.asp?DDFDocuments/v/G/TBTN23/BDI402A1.DOCX", "https://docs.wto.org/imrd/directdoc.asp?DDFDocuments/v/G/TBTN23/BDI402A1.DOCX")</f>
      </c>
    </row>
    <row r="890">
      <c r="A890" s="6" t="s">
        <v>1688</v>
      </c>
      <c r="B890" s="7">
        <v>45498</v>
      </c>
      <c r="C890" s="6">
        <f>HYPERLINK("https://eping.wto.org/en/Search?viewData= G/SPS/N/THA/232/Rev.2/Corr.1"," G/SPS/N/THA/232/Rev.2/Corr.1")</f>
      </c>
      <c r="D890" s="8" t="s">
        <v>3281</v>
      </c>
      <c r="E890" s="8" t="s">
        <v>3282</v>
      </c>
      <c r="F890" s="8" t="s">
        <v>2769</v>
      </c>
      <c r="G890" s="6" t="s">
        <v>3283</v>
      </c>
      <c r="H890" s="6" t="s">
        <v>250</v>
      </c>
      <c r="I890" s="6" t="s">
        <v>38</v>
      </c>
      <c r="J890" s="6" t="s">
        <v>3284</v>
      </c>
      <c r="K890" s="6"/>
      <c r="L890" s="7" t="s">
        <v>40</v>
      </c>
      <c r="M890" s="6" t="s">
        <v>224</v>
      </c>
      <c r="N890" s="8" t="s">
        <v>3285</v>
      </c>
      <c r="O890" s="6">
        <f>HYPERLINK("https://docs.wto.org/imrd/directdoc.asp?DDFDocuments/t/G/SPS/NTHA232R2C1.DOCX", "https://docs.wto.org/imrd/directdoc.asp?DDFDocuments/t/G/SPS/NTHA232R2C1.DOCX")</f>
      </c>
      <c r="P890" s="6">
        <f>HYPERLINK("https://docs.wto.org/imrd/directdoc.asp?DDFDocuments/u/G/SPS/NTHA232R2C1.DOCX", "https://docs.wto.org/imrd/directdoc.asp?DDFDocuments/u/G/SPS/NTHA232R2C1.DOCX")</f>
      </c>
      <c r="Q890" s="6">
        <f>HYPERLINK("https://docs.wto.org/imrd/directdoc.asp?DDFDocuments/v/G/SPS/NTHA232R2C1.DOCX", "https://docs.wto.org/imrd/directdoc.asp?DDFDocuments/v/G/SPS/NTHA232R2C1.DOCX")</f>
      </c>
    </row>
    <row r="891">
      <c r="A891" s="6" t="s">
        <v>17</v>
      </c>
      <c r="B891" s="7">
        <v>45498</v>
      </c>
      <c r="C891" s="6">
        <f>HYPERLINK("https://eping.wto.org/en/Search?viewData= G/TBT/N/BDI/402/Add.1, G/TBT/N/KEN/1497/Add.1, G/TBT/N/RWA/926/Add.1, G/TBT/N/TZA/1030/Add.1, G/TBT/N/UGA/1837/Add.1"," G/TBT/N/BDI/402/Add.1, G/TBT/N/KEN/1497/Add.1, G/TBT/N/RWA/926/Add.1, G/TBT/N/TZA/1030/Add.1, G/TBT/N/UGA/1837/Add.1")</f>
      </c>
      <c r="D891" s="8" t="s">
        <v>3276</v>
      </c>
      <c r="E891" s="8" t="s">
        <v>3277</v>
      </c>
      <c r="F891" s="8" t="s">
        <v>3278</v>
      </c>
      <c r="G891" s="6" t="s">
        <v>3279</v>
      </c>
      <c r="H891" s="6" t="s">
        <v>3036</v>
      </c>
      <c r="I891" s="6" t="s">
        <v>81</v>
      </c>
      <c r="J891" s="6" t="s">
        <v>122</v>
      </c>
      <c r="K891" s="6"/>
      <c r="L891" s="7" t="s">
        <v>40</v>
      </c>
      <c r="M891" s="6" t="s">
        <v>76</v>
      </c>
      <c r="N891" s="6"/>
      <c r="O891" s="6">
        <f>HYPERLINK("https://docs.wto.org/imrd/directdoc.asp?DDFDocuments/t/G/TBTN23/BDI402A1.DOCX", "https://docs.wto.org/imrd/directdoc.asp?DDFDocuments/t/G/TBTN23/BDI402A1.DOCX")</f>
      </c>
      <c r="P891" s="6">
        <f>HYPERLINK("https://docs.wto.org/imrd/directdoc.asp?DDFDocuments/u/G/TBTN23/BDI402A1.DOCX", "https://docs.wto.org/imrd/directdoc.asp?DDFDocuments/u/G/TBTN23/BDI402A1.DOCX")</f>
      </c>
      <c r="Q891" s="6">
        <f>HYPERLINK("https://docs.wto.org/imrd/directdoc.asp?DDFDocuments/v/G/TBTN23/BDI402A1.DOCX", "https://docs.wto.org/imrd/directdoc.asp?DDFDocuments/v/G/TBTN23/BDI402A1.DOCX")</f>
      </c>
    </row>
    <row r="892">
      <c r="A892" s="6" t="s">
        <v>1688</v>
      </c>
      <c r="B892" s="7">
        <v>45498</v>
      </c>
      <c r="C892" s="6">
        <f>HYPERLINK("https://eping.wto.org/en/Search?viewData= G/TBT/N/THA/679/Add.1"," G/TBT/N/THA/679/Add.1")</f>
      </c>
      <c r="D892" s="8" t="s">
        <v>3286</v>
      </c>
      <c r="E892" s="8" t="s">
        <v>3287</v>
      </c>
      <c r="F892" s="8" t="s">
        <v>3288</v>
      </c>
      <c r="G892" s="6" t="s">
        <v>40</v>
      </c>
      <c r="H892" s="6" t="s">
        <v>270</v>
      </c>
      <c r="I892" s="6" t="s">
        <v>191</v>
      </c>
      <c r="J892" s="6" t="s">
        <v>148</v>
      </c>
      <c r="K892" s="6"/>
      <c r="L892" s="7" t="s">
        <v>40</v>
      </c>
      <c r="M892" s="6" t="s">
        <v>76</v>
      </c>
      <c r="N892" s="8" t="s">
        <v>3289</v>
      </c>
      <c r="O892" s="6">
        <f>HYPERLINK("https://docs.wto.org/imrd/directdoc.asp?DDFDocuments/t/G/TBTN22/THA679A1.DOCX", "https://docs.wto.org/imrd/directdoc.asp?DDFDocuments/t/G/TBTN22/THA679A1.DOCX")</f>
      </c>
      <c r="P892" s="6">
        <f>HYPERLINK("https://docs.wto.org/imrd/directdoc.asp?DDFDocuments/u/G/TBTN22/THA679A1.DOCX", "https://docs.wto.org/imrd/directdoc.asp?DDFDocuments/u/G/TBTN22/THA679A1.DOCX")</f>
      </c>
      <c r="Q892" s="6">
        <f>HYPERLINK("https://docs.wto.org/imrd/directdoc.asp?DDFDocuments/v/G/TBTN22/THA679A1.DOCX", "https://docs.wto.org/imrd/directdoc.asp?DDFDocuments/v/G/TBTN22/THA679A1.DOCX")</f>
      </c>
    </row>
    <row r="893">
      <c r="A893" s="6" t="s">
        <v>115</v>
      </c>
      <c r="B893" s="7">
        <v>45498</v>
      </c>
      <c r="C893" s="6">
        <f>HYPERLINK("https://eping.wto.org/en/Search?viewData= G/SPS/N/BRA/2315"," G/SPS/N/BRA/2315")</f>
      </c>
      <c r="D893" s="8" t="s">
        <v>3290</v>
      </c>
      <c r="E893" s="8" t="s">
        <v>3291</v>
      </c>
      <c r="F893" s="8" t="s">
        <v>3292</v>
      </c>
      <c r="G893" s="6" t="s">
        <v>3293</v>
      </c>
      <c r="H893" s="6" t="s">
        <v>40</v>
      </c>
      <c r="I893" s="6" t="s">
        <v>3294</v>
      </c>
      <c r="J893" s="6" t="s">
        <v>370</v>
      </c>
      <c r="K893" s="6"/>
      <c r="L893" s="7" t="s">
        <v>40</v>
      </c>
      <c r="M893" s="6" t="s">
        <v>25</v>
      </c>
      <c r="N893" s="8" t="s">
        <v>3295</v>
      </c>
      <c r="O893" s="6">
        <f>HYPERLINK("https://docs.wto.org/imrd/directdoc.asp?DDFDocuments/t/G/SPS/NBRA2315.DOCX", "https://docs.wto.org/imrd/directdoc.asp?DDFDocuments/t/G/SPS/NBRA2315.DOCX")</f>
      </c>
      <c r="P893" s="6">
        <f>HYPERLINK("https://docs.wto.org/imrd/directdoc.asp?DDFDocuments/u/G/SPS/NBRA2315.DOCX", "https://docs.wto.org/imrd/directdoc.asp?DDFDocuments/u/G/SPS/NBRA2315.DOCX")</f>
      </c>
      <c r="Q893" s="6">
        <f>HYPERLINK("https://docs.wto.org/imrd/directdoc.asp?DDFDocuments/v/G/SPS/NBRA2315.DOCX", "https://docs.wto.org/imrd/directdoc.asp?DDFDocuments/v/G/SPS/NBRA2315.DOCX")</f>
      </c>
    </row>
    <row r="894">
      <c r="A894" s="6" t="s">
        <v>3296</v>
      </c>
      <c r="B894" s="7">
        <v>45498</v>
      </c>
      <c r="C894" s="6">
        <f>HYPERLINK("https://eping.wto.org/en/Search?viewData= G/SPS/N/KGZ/34"," G/SPS/N/KGZ/34")</f>
      </c>
      <c r="D894" s="8" t="s">
        <v>1637</v>
      </c>
      <c r="E894" s="8" t="s">
        <v>1638</v>
      </c>
      <c r="F894" s="8" t="s">
        <v>1639</v>
      </c>
      <c r="G894" s="6" t="s">
        <v>40</v>
      </c>
      <c r="H894" s="6" t="s">
        <v>40</v>
      </c>
      <c r="I894" s="6" t="s">
        <v>353</v>
      </c>
      <c r="J894" s="6" t="s">
        <v>915</v>
      </c>
      <c r="K894" s="6" t="s">
        <v>40</v>
      </c>
      <c r="L894" s="7">
        <v>45510</v>
      </c>
      <c r="M894" s="6" t="s">
        <v>25</v>
      </c>
      <c r="N894" s="8" t="s">
        <v>3297</v>
      </c>
      <c r="O894" s="6">
        <f>HYPERLINK("https://docs.wto.org/imrd/directdoc.asp?DDFDocuments/t/G/SPS/NKGZ34.DOCX", "https://docs.wto.org/imrd/directdoc.asp?DDFDocuments/t/G/SPS/NKGZ34.DOCX")</f>
      </c>
      <c r="P894" s="6">
        <f>HYPERLINK("https://docs.wto.org/imrd/directdoc.asp?DDFDocuments/u/G/SPS/NKGZ34.DOCX", "https://docs.wto.org/imrd/directdoc.asp?DDFDocuments/u/G/SPS/NKGZ34.DOCX")</f>
      </c>
      <c r="Q894" s="6">
        <f>HYPERLINK("https://docs.wto.org/imrd/directdoc.asp?DDFDocuments/v/G/SPS/NKGZ34.DOCX", "https://docs.wto.org/imrd/directdoc.asp?DDFDocuments/v/G/SPS/NKGZ34.DOCX")</f>
      </c>
    </row>
    <row r="895">
      <c r="A895" s="6" t="s">
        <v>1688</v>
      </c>
      <c r="B895" s="7">
        <v>45498</v>
      </c>
      <c r="C895" s="6">
        <f>HYPERLINK("https://eping.wto.org/en/Search?viewData= G/SPS/N/THA/583/Add.1"," G/SPS/N/THA/583/Add.1")</f>
      </c>
      <c r="D895" s="8" t="s">
        <v>3298</v>
      </c>
      <c r="E895" s="8" t="s">
        <v>3299</v>
      </c>
      <c r="F895" s="8" t="s">
        <v>3300</v>
      </c>
      <c r="G895" s="6" t="s">
        <v>40</v>
      </c>
      <c r="H895" s="6" t="s">
        <v>270</v>
      </c>
      <c r="I895" s="6" t="s">
        <v>38</v>
      </c>
      <c r="J895" s="6" t="s">
        <v>3301</v>
      </c>
      <c r="K895" s="6"/>
      <c r="L895" s="7" t="s">
        <v>40</v>
      </c>
      <c r="M895" s="6" t="s">
        <v>76</v>
      </c>
      <c r="N895" s="8" t="s">
        <v>3302</v>
      </c>
      <c r="O895" s="6">
        <f>HYPERLINK("https://docs.wto.org/imrd/directdoc.asp?DDFDocuments/t/G/SPS/NTHA583A1.DOCX", "https://docs.wto.org/imrd/directdoc.asp?DDFDocuments/t/G/SPS/NTHA583A1.DOCX")</f>
      </c>
      <c r="P895" s="6">
        <f>HYPERLINK("https://docs.wto.org/imrd/directdoc.asp?DDFDocuments/u/G/SPS/NTHA583A1.DOCX", "https://docs.wto.org/imrd/directdoc.asp?DDFDocuments/u/G/SPS/NTHA583A1.DOCX")</f>
      </c>
      <c r="Q895" s="6">
        <f>HYPERLINK("https://docs.wto.org/imrd/directdoc.asp?DDFDocuments/v/G/SPS/NTHA583A1.DOCX", "https://docs.wto.org/imrd/directdoc.asp?DDFDocuments/v/G/SPS/NTHA583A1.DOCX")</f>
      </c>
    </row>
    <row r="896">
      <c r="A896" s="6" t="s">
        <v>136</v>
      </c>
      <c r="B896" s="7">
        <v>45498</v>
      </c>
      <c r="C896" s="6">
        <f>HYPERLINK("https://eping.wto.org/en/Search?viewData= G/SPS/N/PER/915/Add.1"," G/SPS/N/PER/915/Add.1")</f>
      </c>
      <c r="D896" s="8" t="s">
        <v>3303</v>
      </c>
      <c r="E896" s="8" t="s">
        <v>3303</v>
      </c>
      <c r="F896" s="8" t="s">
        <v>3304</v>
      </c>
      <c r="G896" s="6" t="s">
        <v>3305</v>
      </c>
      <c r="H896" s="6" t="s">
        <v>40</v>
      </c>
      <c r="I896" s="6" t="s">
        <v>369</v>
      </c>
      <c r="J896" s="6" t="s">
        <v>3306</v>
      </c>
      <c r="K896" s="6"/>
      <c r="L896" s="7" t="s">
        <v>40</v>
      </c>
      <c r="M896" s="6" t="s">
        <v>76</v>
      </c>
      <c r="N896" s="8" t="s">
        <v>3307</v>
      </c>
      <c r="O896" s="6">
        <f>HYPERLINK("https://docs.wto.org/imrd/directdoc.asp?DDFDocuments/t/G/SPS/NPER915A1.DOCX", "https://docs.wto.org/imrd/directdoc.asp?DDFDocuments/t/G/SPS/NPER915A1.DOCX")</f>
      </c>
      <c r="P896" s="6">
        <f>HYPERLINK("https://docs.wto.org/imrd/directdoc.asp?DDFDocuments/u/G/SPS/NPER915A1.DOCX", "https://docs.wto.org/imrd/directdoc.asp?DDFDocuments/u/G/SPS/NPER915A1.DOCX")</f>
      </c>
      <c r="Q896" s="6">
        <f>HYPERLINK("https://docs.wto.org/imrd/directdoc.asp?DDFDocuments/v/G/SPS/NPER915A1.DOCX", "https://docs.wto.org/imrd/directdoc.asp?DDFDocuments/v/G/SPS/NPER915A1.DOCX")</f>
      </c>
    </row>
    <row r="897">
      <c r="A897" s="6" t="s">
        <v>115</v>
      </c>
      <c r="B897" s="7">
        <v>45498</v>
      </c>
      <c r="C897" s="6">
        <f>HYPERLINK("https://eping.wto.org/en/Search?viewData= G/SPS/N/BRA/2314"," G/SPS/N/BRA/2314")</f>
      </c>
      <c r="D897" s="8" t="s">
        <v>3308</v>
      </c>
      <c r="E897" s="8" t="s">
        <v>3309</v>
      </c>
      <c r="F897" s="8" t="s">
        <v>3310</v>
      </c>
      <c r="G897" s="6" t="s">
        <v>40</v>
      </c>
      <c r="H897" s="6" t="s">
        <v>40</v>
      </c>
      <c r="I897" s="6" t="s">
        <v>184</v>
      </c>
      <c r="J897" s="6" t="s">
        <v>3311</v>
      </c>
      <c r="K897" s="6" t="s">
        <v>40</v>
      </c>
      <c r="L897" s="7">
        <v>45552</v>
      </c>
      <c r="M897" s="6" t="s">
        <v>25</v>
      </c>
      <c r="N897" s="8" t="s">
        <v>3312</v>
      </c>
      <c r="O897" s="6">
        <f>HYPERLINK("https://docs.wto.org/imrd/directdoc.asp?DDFDocuments/t/G/SPS/NBRA2314.DOCX", "https://docs.wto.org/imrd/directdoc.asp?DDFDocuments/t/G/SPS/NBRA2314.DOCX")</f>
      </c>
      <c r="P897" s="6">
        <f>HYPERLINK("https://docs.wto.org/imrd/directdoc.asp?DDFDocuments/u/G/SPS/NBRA2314.DOCX", "https://docs.wto.org/imrd/directdoc.asp?DDFDocuments/u/G/SPS/NBRA2314.DOCX")</f>
      </c>
      <c r="Q897" s="6">
        <f>HYPERLINK("https://docs.wto.org/imrd/directdoc.asp?DDFDocuments/v/G/SPS/NBRA2314.DOCX", "https://docs.wto.org/imrd/directdoc.asp?DDFDocuments/v/G/SPS/NBRA2314.DOCX")</f>
      </c>
    </row>
    <row r="898">
      <c r="A898" s="6" t="s">
        <v>307</v>
      </c>
      <c r="B898" s="7">
        <v>45498</v>
      </c>
      <c r="C898" s="6">
        <f>HYPERLINK("https://eping.wto.org/en/Search?viewData= G/TBT/N/CAN/729"," G/TBT/N/CAN/729")</f>
      </c>
      <c r="D898" s="8" t="s">
        <v>3313</v>
      </c>
      <c r="E898" s="8" t="s">
        <v>3314</v>
      </c>
      <c r="F898" s="8" t="s">
        <v>3315</v>
      </c>
      <c r="G898" s="6" t="s">
        <v>3316</v>
      </c>
      <c r="H898" s="6" t="s">
        <v>31</v>
      </c>
      <c r="I898" s="6" t="s">
        <v>142</v>
      </c>
      <c r="J898" s="6" t="s">
        <v>24</v>
      </c>
      <c r="K898" s="6"/>
      <c r="L898" s="7">
        <v>45585</v>
      </c>
      <c r="M898" s="6" t="s">
        <v>25</v>
      </c>
      <c r="N898" s="8" t="s">
        <v>3317</v>
      </c>
      <c r="O898" s="6">
        <f>HYPERLINK("https://docs.wto.org/imrd/directdoc.asp?DDFDocuments/t/G/TBTN24/CAN729.DOCX", "https://docs.wto.org/imrd/directdoc.asp?DDFDocuments/t/G/TBTN24/CAN729.DOCX")</f>
      </c>
      <c r="P898" s="6">
        <f>HYPERLINK("https://docs.wto.org/imrd/directdoc.asp?DDFDocuments/u/G/TBTN24/CAN729.DOCX", "https://docs.wto.org/imrd/directdoc.asp?DDFDocuments/u/G/TBTN24/CAN729.DOCX")</f>
      </c>
      <c r="Q898" s="6">
        <f>HYPERLINK("https://docs.wto.org/imrd/directdoc.asp?DDFDocuments/v/G/TBTN24/CAN729.DOCX", "https://docs.wto.org/imrd/directdoc.asp?DDFDocuments/v/G/TBTN24/CAN729.DOCX")</f>
      </c>
    </row>
    <row r="899">
      <c r="A899" s="6" t="s">
        <v>180</v>
      </c>
      <c r="B899" s="7">
        <v>45498</v>
      </c>
      <c r="C899" s="6">
        <f>HYPERLINK("https://eping.wto.org/en/Search?viewData= G/SPS/N/CRI/266/Add.1"," G/SPS/N/CRI/266/Add.1")</f>
      </c>
      <c r="D899" s="8" t="s">
        <v>3318</v>
      </c>
      <c r="E899" s="8" t="s">
        <v>3318</v>
      </c>
      <c r="F899" s="8" t="s">
        <v>3319</v>
      </c>
      <c r="G899" s="6" t="s">
        <v>40</v>
      </c>
      <c r="H899" s="6" t="s">
        <v>40</v>
      </c>
      <c r="I899" s="6" t="s">
        <v>184</v>
      </c>
      <c r="J899" s="6" t="s">
        <v>3320</v>
      </c>
      <c r="K899" s="6"/>
      <c r="L899" s="7" t="s">
        <v>40</v>
      </c>
      <c r="M899" s="6" t="s">
        <v>76</v>
      </c>
      <c r="N899" s="8" t="s">
        <v>3321</v>
      </c>
      <c r="O899" s="6">
        <f>HYPERLINK("https://docs.wto.org/imrd/directdoc.asp?DDFDocuments/t/G/SPS/NCRI266A1.DOCX", "https://docs.wto.org/imrd/directdoc.asp?DDFDocuments/t/G/SPS/NCRI266A1.DOCX")</f>
      </c>
      <c r="P899" s="6">
        <f>HYPERLINK("https://docs.wto.org/imrd/directdoc.asp?DDFDocuments/u/G/SPS/NCRI266A1.DOCX", "https://docs.wto.org/imrd/directdoc.asp?DDFDocuments/u/G/SPS/NCRI266A1.DOCX")</f>
      </c>
      <c r="Q899" s="6">
        <f>HYPERLINK("https://docs.wto.org/imrd/directdoc.asp?DDFDocuments/v/G/SPS/NCRI266A1.DOCX", "https://docs.wto.org/imrd/directdoc.asp?DDFDocuments/v/G/SPS/NCRI266A1.DOCX")</f>
      </c>
    </row>
    <row r="900">
      <c r="A900" s="6" t="s">
        <v>2041</v>
      </c>
      <c r="B900" s="7">
        <v>45498</v>
      </c>
      <c r="C900" s="6">
        <f>HYPERLINK("https://eping.wto.org/en/Search?viewData= G/TBT/N/BDI/402/Add.1, G/TBT/N/KEN/1497/Add.1, G/TBT/N/RWA/926/Add.1, G/TBT/N/TZA/1030/Add.1, G/TBT/N/UGA/1837/Add.1"," G/TBT/N/BDI/402/Add.1, G/TBT/N/KEN/1497/Add.1, G/TBT/N/RWA/926/Add.1, G/TBT/N/TZA/1030/Add.1, G/TBT/N/UGA/1837/Add.1")</f>
      </c>
      <c r="D900" s="8" t="s">
        <v>3276</v>
      </c>
      <c r="E900" s="8" t="s">
        <v>3277</v>
      </c>
      <c r="F900" s="8" t="s">
        <v>3278</v>
      </c>
      <c r="G900" s="6" t="s">
        <v>3279</v>
      </c>
      <c r="H900" s="6" t="s">
        <v>3036</v>
      </c>
      <c r="I900" s="6" t="s">
        <v>3280</v>
      </c>
      <c r="J900" s="6" t="s">
        <v>122</v>
      </c>
      <c r="K900" s="6"/>
      <c r="L900" s="7" t="s">
        <v>40</v>
      </c>
      <c r="M900" s="6" t="s">
        <v>76</v>
      </c>
      <c r="N900" s="6"/>
      <c r="O900" s="6">
        <f>HYPERLINK("https://docs.wto.org/imrd/directdoc.asp?DDFDocuments/t/G/TBTN23/BDI402A1.DOCX", "https://docs.wto.org/imrd/directdoc.asp?DDFDocuments/t/G/TBTN23/BDI402A1.DOCX")</f>
      </c>
      <c r="P900" s="6">
        <f>HYPERLINK("https://docs.wto.org/imrd/directdoc.asp?DDFDocuments/u/G/TBTN23/BDI402A1.DOCX", "https://docs.wto.org/imrd/directdoc.asp?DDFDocuments/u/G/TBTN23/BDI402A1.DOCX")</f>
      </c>
      <c r="Q900" s="6">
        <f>HYPERLINK("https://docs.wto.org/imrd/directdoc.asp?DDFDocuments/v/G/TBTN23/BDI402A1.DOCX", "https://docs.wto.org/imrd/directdoc.asp?DDFDocuments/v/G/TBTN23/BDI402A1.DOCX")</f>
      </c>
    </row>
    <row r="901">
      <c r="A901" s="6" t="s">
        <v>358</v>
      </c>
      <c r="B901" s="7">
        <v>45498</v>
      </c>
      <c r="C901" s="6">
        <f>HYPERLINK("https://eping.wto.org/en/Search?viewData= G/TBT/N/NZL/135"," G/TBT/N/NZL/135")</f>
      </c>
      <c r="D901" s="8" t="s">
        <v>3322</v>
      </c>
      <c r="E901" s="8" t="s">
        <v>3323</v>
      </c>
      <c r="F901" s="8" t="s">
        <v>3324</v>
      </c>
      <c r="G901" s="6" t="s">
        <v>40</v>
      </c>
      <c r="H901" s="6" t="s">
        <v>3325</v>
      </c>
      <c r="I901" s="6" t="s">
        <v>142</v>
      </c>
      <c r="J901" s="6" t="s">
        <v>40</v>
      </c>
      <c r="K901" s="6"/>
      <c r="L901" s="7">
        <v>45574</v>
      </c>
      <c r="M901" s="6" t="s">
        <v>25</v>
      </c>
      <c r="N901" s="8" t="s">
        <v>3326</v>
      </c>
      <c r="O901" s="6">
        <f>HYPERLINK("https://docs.wto.org/imrd/directdoc.asp?DDFDocuments/t/G/TBTN24/NZL135.DOCX", "https://docs.wto.org/imrd/directdoc.asp?DDFDocuments/t/G/TBTN24/NZL135.DOCX")</f>
      </c>
      <c r="P901" s="6">
        <f>HYPERLINK("https://docs.wto.org/imrd/directdoc.asp?DDFDocuments/u/G/TBTN24/NZL135.DOCX", "https://docs.wto.org/imrd/directdoc.asp?DDFDocuments/u/G/TBTN24/NZL135.DOCX")</f>
      </c>
      <c r="Q901" s="6">
        <f>HYPERLINK("https://docs.wto.org/imrd/directdoc.asp?DDFDocuments/v/G/TBTN24/NZL135.DOCX", "https://docs.wto.org/imrd/directdoc.asp?DDFDocuments/v/G/TBTN24/NZL135.DOCX")</f>
      </c>
    </row>
    <row r="902">
      <c r="A902" s="6" t="s">
        <v>2024</v>
      </c>
      <c r="B902" s="7">
        <v>45498</v>
      </c>
      <c r="C902" s="6">
        <f>HYPERLINK("https://eping.wto.org/en/Search?viewData= G/TBT/N/BDI/402/Add.1, G/TBT/N/KEN/1497/Add.1, G/TBT/N/RWA/926/Add.1, G/TBT/N/TZA/1030/Add.1, G/TBT/N/UGA/1837/Add.1"," G/TBT/N/BDI/402/Add.1, G/TBT/N/KEN/1497/Add.1, G/TBT/N/RWA/926/Add.1, G/TBT/N/TZA/1030/Add.1, G/TBT/N/UGA/1837/Add.1")</f>
      </c>
      <c r="D902" s="8" t="s">
        <v>3276</v>
      </c>
      <c r="E902" s="8" t="s">
        <v>3277</v>
      </c>
      <c r="F902" s="8" t="s">
        <v>3278</v>
      </c>
      <c r="G902" s="6" t="s">
        <v>3279</v>
      </c>
      <c r="H902" s="6" t="s">
        <v>3036</v>
      </c>
      <c r="I902" s="6" t="s">
        <v>3280</v>
      </c>
      <c r="J902" s="6" t="s">
        <v>122</v>
      </c>
      <c r="K902" s="6"/>
      <c r="L902" s="7" t="s">
        <v>40</v>
      </c>
      <c r="M902" s="6" t="s">
        <v>76</v>
      </c>
      <c r="N902" s="6"/>
      <c r="O902" s="6">
        <f>HYPERLINK("https://docs.wto.org/imrd/directdoc.asp?DDFDocuments/t/G/TBTN23/BDI402A1.DOCX", "https://docs.wto.org/imrd/directdoc.asp?DDFDocuments/t/G/TBTN23/BDI402A1.DOCX")</f>
      </c>
      <c r="P902" s="6">
        <f>HYPERLINK("https://docs.wto.org/imrd/directdoc.asp?DDFDocuments/u/G/TBTN23/BDI402A1.DOCX", "https://docs.wto.org/imrd/directdoc.asp?DDFDocuments/u/G/TBTN23/BDI402A1.DOCX")</f>
      </c>
      <c r="Q902" s="6">
        <f>HYPERLINK("https://docs.wto.org/imrd/directdoc.asp?DDFDocuments/v/G/TBTN23/BDI402A1.DOCX", "https://docs.wto.org/imrd/directdoc.asp?DDFDocuments/v/G/TBTN23/BDI402A1.DOCX")</f>
      </c>
    </row>
    <row r="903">
      <c r="A903" s="6" t="s">
        <v>880</v>
      </c>
      <c r="B903" s="7">
        <v>45498</v>
      </c>
      <c r="C903" s="6">
        <f>HYPERLINK("https://eping.wto.org/en/Search?viewData= G/TBT/N/BDI/402/Add.1, G/TBT/N/KEN/1497/Add.1, G/TBT/N/RWA/926/Add.1, G/TBT/N/TZA/1030/Add.1, G/TBT/N/UGA/1837/Add.1"," G/TBT/N/BDI/402/Add.1, G/TBT/N/KEN/1497/Add.1, G/TBT/N/RWA/926/Add.1, G/TBT/N/TZA/1030/Add.1, G/TBT/N/UGA/1837/Add.1")</f>
      </c>
      <c r="D903" s="8" t="s">
        <v>3276</v>
      </c>
      <c r="E903" s="8" t="s">
        <v>3277</v>
      </c>
      <c r="F903" s="8" t="s">
        <v>3278</v>
      </c>
      <c r="G903" s="6" t="s">
        <v>3279</v>
      </c>
      <c r="H903" s="6" t="s">
        <v>3036</v>
      </c>
      <c r="I903" s="6" t="s">
        <v>3280</v>
      </c>
      <c r="J903" s="6" t="s">
        <v>122</v>
      </c>
      <c r="K903" s="6"/>
      <c r="L903" s="7" t="s">
        <v>40</v>
      </c>
      <c r="M903" s="6" t="s">
        <v>76</v>
      </c>
      <c r="N903" s="6"/>
      <c r="O903" s="6">
        <f>HYPERLINK("https://docs.wto.org/imrd/directdoc.asp?DDFDocuments/t/G/TBTN23/BDI402A1.DOCX", "https://docs.wto.org/imrd/directdoc.asp?DDFDocuments/t/G/TBTN23/BDI402A1.DOCX")</f>
      </c>
      <c r="P903" s="6">
        <f>HYPERLINK("https://docs.wto.org/imrd/directdoc.asp?DDFDocuments/u/G/TBTN23/BDI402A1.DOCX", "https://docs.wto.org/imrd/directdoc.asp?DDFDocuments/u/G/TBTN23/BDI402A1.DOCX")</f>
      </c>
      <c r="Q903" s="6">
        <f>HYPERLINK("https://docs.wto.org/imrd/directdoc.asp?DDFDocuments/v/G/TBTN23/BDI402A1.DOCX", "https://docs.wto.org/imrd/directdoc.asp?DDFDocuments/v/G/TBTN23/BDI402A1.DOCX")</f>
      </c>
    </row>
    <row r="904">
      <c r="A904" s="6" t="s">
        <v>3296</v>
      </c>
      <c r="B904" s="7">
        <v>45497</v>
      </c>
      <c r="C904" s="6">
        <f>HYPERLINK("https://eping.wto.org/en/Search?viewData= G/SPS/N/KGZ/32"," G/SPS/N/KGZ/32")</f>
      </c>
      <c r="D904" s="8" t="s">
        <v>3194</v>
      </c>
      <c r="E904" s="8" t="s">
        <v>3195</v>
      </c>
      <c r="F904" s="8" t="s">
        <v>1701</v>
      </c>
      <c r="G904" s="6" t="s">
        <v>40</v>
      </c>
      <c r="H904" s="6" t="s">
        <v>40</v>
      </c>
      <c r="I904" s="6" t="s">
        <v>353</v>
      </c>
      <c r="J904" s="6" t="s">
        <v>915</v>
      </c>
      <c r="K904" s="6" t="s">
        <v>40</v>
      </c>
      <c r="L904" s="7">
        <v>45514</v>
      </c>
      <c r="M904" s="6" t="s">
        <v>25</v>
      </c>
      <c r="N904" s="8" t="s">
        <v>3327</v>
      </c>
      <c r="O904" s="6">
        <f>HYPERLINK("https://docs.wto.org/imrd/directdoc.asp?DDFDocuments/t/G/SPS/NKGZ32.DOCX", "https://docs.wto.org/imrd/directdoc.asp?DDFDocuments/t/G/SPS/NKGZ32.DOCX")</f>
      </c>
      <c r="P904" s="6">
        <f>HYPERLINK("https://docs.wto.org/imrd/directdoc.asp?DDFDocuments/u/G/SPS/NKGZ32.DOCX", "https://docs.wto.org/imrd/directdoc.asp?DDFDocuments/u/G/SPS/NKGZ32.DOCX")</f>
      </c>
      <c r="Q904" s="6">
        <f>HYPERLINK("https://docs.wto.org/imrd/directdoc.asp?DDFDocuments/v/G/SPS/NKGZ32.DOCX", "https://docs.wto.org/imrd/directdoc.asp?DDFDocuments/v/G/SPS/NKGZ32.DOCX")</f>
      </c>
    </row>
    <row r="905">
      <c r="A905" s="6" t="s">
        <v>3296</v>
      </c>
      <c r="B905" s="7">
        <v>45497</v>
      </c>
      <c r="C905" s="6">
        <f>HYPERLINK("https://eping.wto.org/en/Search?viewData= G/SPS/N/KGZ/33"," G/SPS/N/KGZ/33")</f>
      </c>
      <c r="D905" s="8" t="s">
        <v>1831</v>
      </c>
      <c r="E905" s="8" t="s">
        <v>3328</v>
      </c>
      <c r="F905" s="8" t="s">
        <v>1833</v>
      </c>
      <c r="G905" s="6" t="s">
        <v>40</v>
      </c>
      <c r="H905" s="6" t="s">
        <v>40</v>
      </c>
      <c r="I905" s="6" t="s">
        <v>791</v>
      </c>
      <c r="J905" s="6" t="s">
        <v>792</v>
      </c>
      <c r="K905" s="6" t="s">
        <v>40</v>
      </c>
      <c r="L905" s="7">
        <v>45548</v>
      </c>
      <c r="M905" s="6" t="s">
        <v>25</v>
      </c>
      <c r="N905" s="8" t="s">
        <v>3329</v>
      </c>
      <c r="O905" s="6">
        <f>HYPERLINK("https://docs.wto.org/imrd/directdoc.asp?DDFDocuments/t/G/SPS/NKGZ33.DOCX", "https://docs.wto.org/imrd/directdoc.asp?DDFDocuments/t/G/SPS/NKGZ33.DOCX")</f>
      </c>
      <c r="P905" s="6">
        <f>HYPERLINK("https://docs.wto.org/imrd/directdoc.asp?DDFDocuments/u/G/SPS/NKGZ33.DOCX", "https://docs.wto.org/imrd/directdoc.asp?DDFDocuments/u/G/SPS/NKGZ33.DOCX")</f>
      </c>
      <c r="Q905" s="6">
        <f>HYPERLINK("https://docs.wto.org/imrd/directdoc.asp?DDFDocuments/v/G/SPS/NKGZ33.DOCX", "https://docs.wto.org/imrd/directdoc.asp?DDFDocuments/v/G/SPS/NKGZ33.DOCX")</f>
      </c>
    </row>
    <row r="906">
      <c r="A906" s="6" t="s">
        <v>2041</v>
      </c>
      <c r="B906" s="7">
        <v>45497</v>
      </c>
      <c r="C906" s="6">
        <f>HYPERLINK("https://eping.wto.org/en/Search?viewData= G/TBT/N/BDI/313/Add.1, G/TBT/N/KEN/1362/Add.1, G/TBT/N/RWA/754/Add.1, G/TBT/N/TZA/877/Add.1, G/TBT/N/UGA/1724/Add.1"," G/TBT/N/BDI/313/Add.1, G/TBT/N/KEN/1362/Add.1, G/TBT/N/RWA/754/Add.1, G/TBT/N/TZA/877/Add.1, G/TBT/N/UGA/1724/Add.1")</f>
      </c>
      <c r="D906" s="8" t="s">
        <v>3330</v>
      </c>
      <c r="E906" s="8" t="s">
        <v>3331</v>
      </c>
      <c r="F906" s="8" t="s">
        <v>3332</v>
      </c>
      <c r="G906" s="6" t="s">
        <v>3333</v>
      </c>
      <c r="H906" s="6" t="s">
        <v>932</v>
      </c>
      <c r="I906" s="6" t="s">
        <v>3334</v>
      </c>
      <c r="J906" s="6" t="s">
        <v>40</v>
      </c>
      <c r="K906" s="6"/>
      <c r="L906" s="7" t="s">
        <v>40</v>
      </c>
      <c r="M906" s="6" t="s">
        <v>76</v>
      </c>
      <c r="N906" s="6"/>
      <c r="O906" s="6">
        <f>HYPERLINK("https://docs.wto.org/imrd/directdoc.asp?DDFDocuments/t/G/TBTN23/BDI313A1.DOCX", "https://docs.wto.org/imrd/directdoc.asp?DDFDocuments/t/G/TBTN23/BDI313A1.DOCX")</f>
      </c>
      <c r="P906" s="6">
        <f>HYPERLINK("https://docs.wto.org/imrd/directdoc.asp?DDFDocuments/u/G/TBTN23/BDI313A1.DOCX", "https://docs.wto.org/imrd/directdoc.asp?DDFDocuments/u/G/TBTN23/BDI313A1.DOCX")</f>
      </c>
      <c r="Q906" s="6">
        <f>HYPERLINK("https://docs.wto.org/imrd/directdoc.asp?DDFDocuments/v/G/TBTN23/BDI313A1.DOCX", "https://docs.wto.org/imrd/directdoc.asp?DDFDocuments/v/G/TBTN23/BDI313A1.DOCX")</f>
      </c>
    </row>
    <row r="907">
      <c r="A907" s="6" t="s">
        <v>880</v>
      </c>
      <c r="B907" s="7">
        <v>45497</v>
      </c>
      <c r="C907" s="6">
        <f>HYPERLINK("https://eping.wto.org/en/Search?viewData= G/TBT/N/BDI/295/Add.1, G/TBT/N/KEN/1330/Add.1, G/TBT/N/RWA/737/Add.1, G/TBT/N/TZA/855/Add.1, G/TBT/N/UGA/1704/Add.1"," G/TBT/N/BDI/295/Add.1, G/TBT/N/KEN/1330/Add.1, G/TBT/N/RWA/737/Add.1, G/TBT/N/TZA/855/Add.1, G/TBT/N/UGA/1704/Add.1")</f>
      </c>
      <c r="D907" s="8" t="s">
        <v>3335</v>
      </c>
      <c r="E907" s="8" t="s">
        <v>3336</v>
      </c>
      <c r="F907" s="8" t="s">
        <v>3332</v>
      </c>
      <c r="G907" s="6" t="s">
        <v>40</v>
      </c>
      <c r="H907" s="6" t="s">
        <v>932</v>
      </c>
      <c r="I907" s="6" t="s">
        <v>3334</v>
      </c>
      <c r="J907" s="6" t="s">
        <v>40</v>
      </c>
      <c r="K907" s="6"/>
      <c r="L907" s="7" t="s">
        <v>40</v>
      </c>
      <c r="M907" s="6" t="s">
        <v>76</v>
      </c>
      <c r="N907" s="6"/>
      <c r="O907" s="6">
        <f>HYPERLINK("https://docs.wto.org/imrd/directdoc.asp?DDFDocuments/t/G/TBTN22/BDI295A1.DOCX", "https://docs.wto.org/imrd/directdoc.asp?DDFDocuments/t/G/TBTN22/BDI295A1.DOCX")</f>
      </c>
      <c r="P907" s="6">
        <f>HYPERLINK("https://docs.wto.org/imrd/directdoc.asp?DDFDocuments/u/G/TBTN22/BDI295A1.DOCX", "https://docs.wto.org/imrd/directdoc.asp?DDFDocuments/u/G/TBTN22/BDI295A1.DOCX")</f>
      </c>
      <c r="Q907" s="6">
        <f>HYPERLINK("https://docs.wto.org/imrd/directdoc.asp?DDFDocuments/v/G/TBTN22/BDI295A1.DOCX", "https://docs.wto.org/imrd/directdoc.asp?DDFDocuments/v/G/TBTN22/BDI295A1.DOCX")</f>
      </c>
    </row>
    <row r="908">
      <c r="A908" s="6" t="s">
        <v>2024</v>
      </c>
      <c r="B908" s="7">
        <v>45497</v>
      </c>
      <c r="C908" s="6">
        <f>HYPERLINK("https://eping.wto.org/en/Search?viewData= G/TBT/N/BDI/434/Add.1, G/TBT/N/KEN/1539/Add.1, G/TBT/N/RWA/969/Add.1, G/TBT/N/TZA/1070/Add.1, G/TBT/N/UGA/1884/Add.1"," G/TBT/N/BDI/434/Add.1, G/TBT/N/KEN/1539/Add.1, G/TBT/N/RWA/969/Add.1, G/TBT/N/TZA/1070/Add.1, G/TBT/N/UGA/1884/Add.1")</f>
      </c>
      <c r="D908" s="8" t="s">
        <v>3337</v>
      </c>
      <c r="E908" s="8" t="s">
        <v>3338</v>
      </c>
      <c r="F908" s="8" t="s">
        <v>3339</v>
      </c>
      <c r="G908" s="6" t="s">
        <v>40</v>
      </c>
      <c r="H908" s="6" t="s">
        <v>363</v>
      </c>
      <c r="I908" s="6" t="s">
        <v>3334</v>
      </c>
      <c r="J908" s="6" t="s">
        <v>40</v>
      </c>
      <c r="K908" s="6"/>
      <c r="L908" s="7" t="s">
        <v>40</v>
      </c>
      <c r="M908" s="6" t="s">
        <v>76</v>
      </c>
      <c r="N908" s="6"/>
      <c r="O908" s="6">
        <f>HYPERLINK("https://docs.wto.org/imrd/directdoc.asp?DDFDocuments/t/G/TBTN23/BDI434A1.DOCX", "https://docs.wto.org/imrd/directdoc.asp?DDFDocuments/t/G/TBTN23/BDI434A1.DOCX")</f>
      </c>
      <c r="P908" s="6">
        <f>HYPERLINK("https://docs.wto.org/imrd/directdoc.asp?DDFDocuments/u/G/TBTN23/BDI434A1.DOCX", "https://docs.wto.org/imrd/directdoc.asp?DDFDocuments/u/G/TBTN23/BDI434A1.DOCX")</f>
      </c>
      <c r="Q908" s="6">
        <f>HYPERLINK("https://docs.wto.org/imrd/directdoc.asp?DDFDocuments/v/G/TBTN23/BDI434A1.DOCX", "https://docs.wto.org/imrd/directdoc.asp?DDFDocuments/v/G/TBTN23/BDI434A1.DOCX")</f>
      </c>
    </row>
    <row r="909">
      <c r="A909" s="6" t="s">
        <v>515</v>
      </c>
      <c r="B909" s="7">
        <v>45497</v>
      </c>
      <c r="C909" s="6">
        <f>HYPERLINK("https://eping.wto.org/en/Search?viewData= G/TBT/N/EU/1076"," G/TBT/N/EU/1076")</f>
      </c>
      <c r="D909" s="8" t="s">
        <v>2969</v>
      </c>
      <c r="E909" s="8" t="s">
        <v>3340</v>
      </c>
      <c r="F909" s="8" t="s">
        <v>2971</v>
      </c>
      <c r="G909" s="6" t="s">
        <v>40</v>
      </c>
      <c r="H909" s="6" t="s">
        <v>3341</v>
      </c>
      <c r="I909" s="6" t="s">
        <v>2991</v>
      </c>
      <c r="J909" s="6" t="s">
        <v>40</v>
      </c>
      <c r="K909" s="6"/>
      <c r="L909" s="7">
        <v>45557</v>
      </c>
      <c r="M909" s="6" t="s">
        <v>25</v>
      </c>
      <c r="N909" s="8" t="s">
        <v>3342</v>
      </c>
      <c r="O909" s="6">
        <f>HYPERLINK("https://docs.wto.org/imrd/directdoc.asp?DDFDocuments/t/G/TBTN24/EU1076.DOCX", "https://docs.wto.org/imrd/directdoc.asp?DDFDocuments/t/G/TBTN24/EU1076.DOCX")</f>
      </c>
      <c r="P909" s="6">
        <f>HYPERLINK("https://docs.wto.org/imrd/directdoc.asp?DDFDocuments/u/G/TBTN24/EU1076.DOCX", "https://docs.wto.org/imrd/directdoc.asp?DDFDocuments/u/G/TBTN24/EU1076.DOCX")</f>
      </c>
      <c r="Q909" s="6">
        <f>HYPERLINK("https://docs.wto.org/imrd/directdoc.asp?DDFDocuments/v/G/TBTN24/EU1076.DOCX", "https://docs.wto.org/imrd/directdoc.asp?DDFDocuments/v/G/TBTN24/EU1076.DOCX")</f>
      </c>
    </row>
    <row r="910">
      <c r="A910" s="6" t="s">
        <v>358</v>
      </c>
      <c r="B910" s="7">
        <v>45497</v>
      </c>
      <c r="C910" s="6">
        <f>HYPERLINK("https://eping.wto.org/en/Search?viewData= G/TBT/N/NZL/134"," G/TBT/N/NZL/134")</f>
      </c>
      <c r="D910" s="8" t="s">
        <v>3343</v>
      </c>
      <c r="E910" s="8" t="s">
        <v>3344</v>
      </c>
      <c r="F910" s="8" t="s">
        <v>1363</v>
      </c>
      <c r="G910" s="6" t="s">
        <v>3345</v>
      </c>
      <c r="H910" s="6" t="s">
        <v>2803</v>
      </c>
      <c r="I910" s="6" t="s">
        <v>142</v>
      </c>
      <c r="J910" s="6" t="s">
        <v>24</v>
      </c>
      <c r="K910" s="6"/>
      <c r="L910" s="7">
        <v>45555</v>
      </c>
      <c r="M910" s="6" t="s">
        <v>25</v>
      </c>
      <c r="N910" s="8" t="s">
        <v>3346</v>
      </c>
      <c r="O910" s="6">
        <f>HYPERLINK("https://docs.wto.org/imrd/directdoc.asp?DDFDocuments/t/G/TBTN24/NZL134.DOCX", "https://docs.wto.org/imrd/directdoc.asp?DDFDocuments/t/G/TBTN24/NZL134.DOCX")</f>
      </c>
      <c r="P910" s="6">
        <f>HYPERLINK("https://docs.wto.org/imrd/directdoc.asp?DDFDocuments/u/G/TBTN24/NZL134.DOCX", "https://docs.wto.org/imrd/directdoc.asp?DDFDocuments/u/G/TBTN24/NZL134.DOCX")</f>
      </c>
      <c r="Q910" s="6">
        <f>HYPERLINK("https://docs.wto.org/imrd/directdoc.asp?DDFDocuments/v/G/TBTN24/NZL134.DOCX", "https://docs.wto.org/imrd/directdoc.asp?DDFDocuments/v/G/TBTN24/NZL134.DOCX")</f>
      </c>
    </row>
    <row r="911">
      <c r="A911" s="6" t="s">
        <v>348</v>
      </c>
      <c r="B911" s="7">
        <v>45497</v>
      </c>
      <c r="C911" s="6">
        <f>HYPERLINK("https://eping.wto.org/en/Search?viewData= G/TBT/N/RUS/165"," G/TBT/N/RUS/165")</f>
      </c>
      <c r="D911" s="8" t="s">
        <v>3347</v>
      </c>
      <c r="E911" s="8" t="s">
        <v>1704</v>
      </c>
      <c r="F911" s="8" t="s">
        <v>3348</v>
      </c>
      <c r="G911" s="6" t="s">
        <v>40</v>
      </c>
      <c r="H911" s="6" t="s">
        <v>3349</v>
      </c>
      <c r="I911" s="6" t="s">
        <v>147</v>
      </c>
      <c r="J911" s="6" t="s">
        <v>40</v>
      </c>
      <c r="K911" s="6"/>
      <c r="L911" s="7">
        <v>45557</v>
      </c>
      <c r="M911" s="6" t="s">
        <v>25</v>
      </c>
      <c r="N911" s="6"/>
      <c r="O911" s="6">
        <f>HYPERLINK("https://docs.wto.org/imrd/directdoc.asp?DDFDocuments/t/G/TBTN24/RUS165.DOCX", "https://docs.wto.org/imrd/directdoc.asp?DDFDocuments/t/G/TBTN24/RUS165.DOCX")</f>
      </c>
      <c r="P911" s="6">
        <f>HYPERLINK("https://docs.wto.org/imrd/directdoc.asp?DDFDocuments/u/G/TBTN24/RUS165.DOCX", "https://docs.wto.org/imrd/directdoc.asp?DDFDocuments/u/G/TBTN24/RUS165.DOCX")</f>
      </c>
      <c r="Q911" s="6">
        <f>HYPERLINK("https://docs.wto.org/imrd/directdoc.asp?DDFDocuments/v/G/TBTN24/RUS165.DOCX", "https://docs.wto.org/imrd/directdoc.asp?DDFDocuments/v/G/TBTN24/RUS165.DOCX")</f>
      </c>
    </row>
    <row r="912">
      <c r="A912" s="6" t="s">
        <v>1688</v>
      </c>
      <c r="B912" s="7">
        <v>45497</v>
      </c>
      <c r="C912" s="6">
        <f>HYPERLINK("https://eping.wto.org/en/Search?viewData= G/TBT/N/THA/747"," G/TBT/N/THA/747")</f>
      </c>
      <c r="D912" s="8" t="s">
        <v>3350</v>
      </c>
      <c r="E912" s="8" t="s">
        <v>3351</v>
      </c>
      <c r="F912" s="8" t="s">
        <v>3352</v>
      </c>
      <c r="G912" s="6" t="s">
        <v>3353</v>
      </c>
      <c r="H912" s="6" t="s">
        <v>3158</v>
      </c>
      <c r="I912" s="6" t="s">
        <v>191</v>
      </c>
      <c r="J912" s="6" t="s">
        <v>1805</v>
      </c>
      <c r="K912" s="6"/>
      <c r="L912" s="7">
        <v>45557</v>
      </c>
      <c r="M912" s="6" t="s">
        <v>25</v>
      </c>
      <c r="N912" s="8" t="s">
        <v>3354</v>
      </c>
      <c r="O912" s="6">
        <f>HYPERLINK("https://docs.wto.org/imrd/directdoc.asp?DDFDocuments/t/G/TBTN24/THA747.DOCX", "https://docs.wto.org/imrd/directdoc.asp?DDFDocuments/t/G/TBTN24/THA747.DOCX")</f>
      </c>
      <c r="P912" s="6">
        <f>HYPERLINK("https://docs.wto.org/imrd/directdoc.asp?DDFDocuments/u/G/TBTN24/THA747.DOCX", "https://docs.wto.org/imrd/directdoc.asp?DDFDocuments/u/G/TBTN24/THA747.DOCX")</f>
      </c>
      <c r="Q912" s="6">
        <f>HYPERLINK("https://docs.wto.org/imrd/directdoc.asp?DDFDocuments/v/G/TBTN24/THA747.DOCX", "https://docs.wto.org/imrd/directdoc.asp?DDFDocuments/v/G/TBTN24/THA747.DOCX")</f>
      </c>
    </row>
    <row r="913">
      <c r="A913" s="6" t="s">
        <v>160</v>
      </c>
      <c r="B913" s="7">
        <v>45497</v>
      </c>
      <c r="C913" s="6">
        <f>HYPERLINK("https://eping.wto.org/en/Search?viewData= G/TBT/N/USA/2098/Add.3"," G/TBT/N/USA/2098/Add.3")</f>
      </c>
      <c r="D913" s="8" t="s">
        <v>3355</v>
      </c>
      <c r="E913" s="8" t="s">
        <v>3356</v>
      </c>
      <c r="F913" s="8" t="s">
        <v>3357</v>
      </c>
      <c r="G913" s="6" t="s">
        <v>40</v>
      </c>
      <c r="H913" s="6" t="s">
        <v>3358</v>
      </c>
      <c r="I913" s="6" t="s">
        <v>147</v>
      </c>
      <c r="J913" s="6" t="s">
        <v>40</v>
      </c>
      <c r="K913" s="6"/>
      <c r="L913" s="7" t="s">
        <v>40</v>
      </c>
      <c r="M913" s="6" t="s">
        <v>76</v>
      </c>
      <c r="N913" s="8" t="s">
        <v>3359</v>
      </c>
      <c r="O913" s="6">
        <f>HYPERLINK("https://docs.wto.org/imrd/directdoc.asp?DDFDocuments/t/G/TBTN24/USA2098A3.DOCX", "https://docs.wto.org/imrd/directdoc.asp?DDFDocuments/t/G/TBTN24/USA2098A3.DOCX")</f>
      </c>
      <c r="P913" s="6">
        <f>HYPERLINK("https://docs.wto.org/imrd/directdoc.asp?DDFDocuments/u/G/TBTN24/USA2098A3.DOCX", "https://docs.wto.org/imrd/directdoc.asp?DDFDocuments/u/G/TBTN24/USA2098A3.DOCX")</f>
      </c>
      <c r="Q913" s="6">
        <f>HYPERLINK("https://docs.wto.org/imrd/directdoc.asp?DDFDocuments/v/G/TBTN24/USA2098A3.DOCX", "https://docs.wto.org/imrd/directdoc.asp?DDFDocuments/v/G/TBTN24/USA2098A3.DOCX")</f>
      </c>
    </row>
    <row r="914">
      <c r="A914" s="6" t="s">
        <v>17</v>
      </c>
      <c r="B914" s="7">
        <v>45497</v>
      </c>
      <c r="C914" s="6">
        <f>HYPERLINK("https://eping.wto.org/en/Search?viewData= G/TBT/N/BDI/294/Add.1, G/TBT/N/KEN/1329/Add.1, G/TBT/N/RWA/736/Add.1, G/TBT/N/TZA/852/Add.1, G/TBT/N/UGA/1703/Add.1"," G/TBT/N/BDI/294/Add.1, G/TBT/N/KEN/1329/Add.1, G/TBT/N/RWA/736/Add.1, G/TBT/N/TZA/852/Add.1, G/TBT/N/UGA/1703/Add.1")</f>
      </c>
      <c r="D914" s="8" t="s">
        <v>3360</v>
      </c>
      <c r="E914" s="8" t="s">
        <v>3361</v>
      </c>
      <c r="F914" s="8" t="s">
        <v>3362</v>
      </c>
      <c r="G914" s="6" t="s">
        <v>3363</v>
      </c>
      <c r="H914" s="6" t="s">
        <v>3364</v>
      </c>
      <c r="I914" s="6" t="s">
        <v>2153</v>
      </c>
      <c r="J914" s="6" t="s">
        <v>40</v>
      </c>
      <c r="K914" s="6"/>
      <c r="L914" s="7" t="s">
        <v>40</v>
      </c>
      <c r="M914" s="6" t="s">
        <v>76</v>
      </c>
      <c r="N914" s="6"/>
      <c r="O914" s="6">
        <f>HYPERLINK("https://docs.wto.org/imrd/directdoc.asp?DDFDocuments/t/G/TBTN22/BDI294A1.DOCX", "https://docs.wto.org/imrd/directdoc.asp?DDFDocuments/t/G/TBTN22/BDI294A1.DOCX")</f>
      </c>
      <c r="P914" s="6">
        <f>HYPERLINK("https://docs.wto.org/imrd/directdoc.asp?DDFDocuments/u/G/TBTN22/BDI294A1.DOCX", "https://docs.wto.org/imrd/directdoc.asp?DDFDocuments/u/G/TBTN22/BDI294A1.DOCX")</f>
      </c>
      <c r="Q914" s="6">
        <f>HYPERLINK("https://docs.wto.org/imrd/directdoc.asp?DDFDocuments/v/G/TBTN22/BDI294A1.DOCX", "https://docs.wto.org/imrd/directdoc.asp?DDFDocuments/v/G/TBTN22/BDI294A1.DOCX")</f>
      </c>
    </row>
    <row r="915">
      <c r="A915" s="6" t="s">
        <v>1285</v>
      </c>
      <c r="B915" s="7">
        <v>45497</v>
      </c>
      <c r="C915" s="6">
        <f>HYPERLINK("https://eping.wto.org/en/Search?viewData= G/TBT/N/MYS/107/Add.1"," G/TBT/N/MYS/107/Add.1")</f>
      </c>
      <c r="D915" s="8" t="s">
        <v>3365</v>
      </c>
      <c r="E915" s="8" t="s">
        <v>3366</v>
      </c>
      <c r="F915" s="8" t="s">
        <v>3367</v>
      </c>
      <c r="G915" s="6" t="s">
        <v>3368</v>
      </c>
      <c r="H915" s="6" t="s">
        <v>3369</v>
      </c>
      <c r="I915" s="6" t="s">
        <v>165</v>
      </c>
      <c r="J915" s="6" t="s">
        <v>40</v>
      </c>
      <c r="K915" s="6"/>
      <c r="L915" s="7" t="s">
        <v>40</v>
      </c>
      <c r="M915" s="6" t="s">
        <v>76</v>
      </c>
      <c r="N915" s="8" t="s">
        <v>3370</v>
      </c>
      <c r="O915" s="6">
        <f>HYPERLINK("https://docs.wto.org/imrd/directdoc.asp?DDFDocuments/t/G/TBTN22/MYS107A1.DOCX", "https://docs.wto.org/imrd/directdoc.asp?DDFDocuments/t/G/TBTN22/MYS107A1.DOCX")</f>
      </c>
      <c r="P915" s="6">
        <f>HYPERLINK("https://docs.wto.org/imrd/directdoc.asp?DDFDocuments/u/G/TBTN22/MYS107A1.DOCX", "https://docs.wto.org/imrd/directdoc.asp?DDFDocuments/u/G/TBTN22/MYS107A1.DOCX")</f>
      </c>
      <c r="Q915" s="6">
        <f>HYPERLINK("https://docs.wto.org/imrd/directdoc.asp?DDFDocuments/v/G/TBTN22/MYS107A1.DOCX", "https://docs.wto.org/imrd/directdoc.asp?DDFDocuments/v/G/TBTN22/MYS107A1.DOCX")</f>
      </c>
    </row>
    <row r="916">
      <c r="A916" s="6" t="s">
        <v>2030</v>
      </c>
      <c r="B916" s="7">
        <v>45497</v>
      </c>
      <c r="C916" s="6">
        <f>HYPERLINK("https://eping.wto.org/en/Search?viewData= G/TBT/N/BDI/313/Add.1, G/TBT/N/KEN/1362/Add.1, G/TBT/N/RWA/754/Add.1, G/TBT/N/TZA/877/Add.1, G/TBT/N/UGA/1724/Add.1"," G/TBT/N/BDI/313/Add.1, G/TBT/N/KEN/1362/Add.1, G/TBT/N/RWA/754/Add.1, G/TBT/N/TZA/877/Add.1, G/TBT/N/UGA/1724/Add.1")</f>
      </c>
      <c r="D916" s="8" t="s">
        <v>3330</v>
      </c>
      <c r="E916" s="8" t="s">
        <v>3331</v>
      </c>
      <c r="F916" s="8" t="s">
        <v>3332</v>
      </c>
      <c r="G916" s="6" t="s">
        <v>3333</v>
      </c>
      <c r="H916" s="6" t="s">
        <v>932</v>
      </c>
      <c r="I916" s="6" t="s">
        <v>3334</v>
      </c>
      <c r="J916" s="6" t="s">
        <v>40</v>
      </c>
      <c r="K916" s="6"/>
      <c r="L916" s="7" t="s">
        <v>40</v>
      </c>
      <c r="M916" s="6" t="s">
        <v>76</v>
      </c>
      <c r="N916" s="6"/>
      <c r="O916" s="6">
        <f>HYPERLINK("https://docs.wto.org/imrd/directdoc.asp?DDFDocuments/t/G/TBTN23/BDI313A1.DOCX", "https://docs.wto.org/imrd/directdoc.asp?DDFDocuments/t/G/TBTN23/BDI313A1.DOCX")</f>
      </c>
      <c r="P916" s="6">
        <f>HYPERLINK("https://docs.wto.org/imrd/directdoc.asp?DDFDocuments/u/G/TBTN23/BDI313A1.DOCX", "https://docs.wto.org/imrd/directdoc.asp?DDFDocuments/u/G/TBTN23/BDI313A1.DOCX")</f>
      </c>
      <c r="Q916" s="6">
        <f>HYPERLINK("https://docs.wto.org/imrd/directdoc.asp?DDFDocuments/v/G/TBTN23/BDI313A1.DOCX", "https://docs.wto.org/imrd/directdoc.asp?DDFDocuments/v/G/TBTN23/BDI313A1.DOCX")</f>
      </c>
    </row>
    <row r="917">
      <c r="A917" s="6" t="s">
        <v>2024</v>
      </c>
      <c r="B917" s="7">
        <v>45497</v>
      </c>
      <c r="C917" s="6">
        <f>HYPERLINK("https://eping.wto.org/en/Search?viewData= G/TBT/N/BDI/328/Add.1, G/TBT/N/KEN/1390/Add.1, G/TBT/N/RWA/835/Add.1, G/TBT/N/TZA/914/Add.1, G/TBT/N/UGA/1743/Add.1"," G/TBT/N/BDI/328/Add.1, G/TBT/N/KEN/1390/Add.1, G/TBT/N/RWA/835/Add.1, G/TBT/N/TZA/914/Add.1, G/TBT/N/UGA/1743/Add.1")</f>
      </c>
      <c r="D917" s="8" t="s">
        <v>3371</v>
      </c>
      <c r="E917" s="8" t="s">
        <v>3372</v>
      </c>
      <c r="F917" s="8" t="s">
        <v>3339</v>
      </c>
      <c r="G917" s="6" t="s">
        <v>40</v>
      </c>
      <c r="H917" s="6" t="s">
        <v>363</v>
      </c>
      <c r="I917" s="6" t="s">
        <v>3334</v>
      </c>
      <c r="J917" s="6" t="s">
        <v>40</v>
      </c>
      <c r="K917" s="6"/>
      <c r="L917" s="7" t="s">
        <v>40</v>
      </c>
      <c r="M917" s="6" t="s">
        <v>76</v>
      </c>
      <c r="N917" s="6"/>
      <c r="O917" s="6">
        <f>HYPERLINK("https://docs.wto.org/imrd/directdoc.asp?DDFDocuments/t/G/TBTN23/BDI328A1.DOCX", "https://docs.wto.org/imrd/directdoc.asp?DDFDocuments/t/G/TBTN23/BDI328A1.DOCX")</f>
      </c>
      <c r="P917" s="6">
        <f>HYPERLINK("https://docs.wto.org/imrd/directdoc.asp?DDFDocuments/u/G/TBTN23/BDI328A1.DOCX", "https://docs.wto.org/imrd/directdoc.asp?DDFDocuments/u/G/TBTN23/BDI328A1.DOCX")</f>
      </c>
      <c r="Q917" s="6">
        <f>HYPERLINK("https://docs.wto.org/imrd/directdoc.asp?DDFDocuments/v/G/TBTN23/BDI328A1.DOCX", "https://docs.wto.org/imrd/directdoc.asp?DDFDocuments/v/G/TBTN23/BDI328A1.DOCX")</f>
      </c>
    </row>
    <row r="918">
      <c r="A918" s="6" t="s">
        <v>2024</v>
      </c>
      <c r="B918" s="7">
        <v>45497</v>
      </c>
      <c r="C918" s="6">
        <f>HYPERLINK("https://eping.wto.org/en/Search?viewData= G/TBT/N/BDI/313/Add.1, G/TBT/N/KEN/1362/Add.1, G/TBT/N/RWA/754/Add.1, G/TBT/N/TZA/877/Add.1, G/TBT/N/UGA/1724/Add.1"," G/TBT/N/BDI/313/Add.1, G/TBT/N/KEN/1362/Add.1, G/TBT/N/RWA/754/Add.1, G/TBT/N/TZA/877/Add.1, G/TBT/N/UGA/1724/Add.1")</f>
      </c>
      <c r="D918" s="8" t="s">
        <v>3330</v>
      </c>
      <c r="E918" s="8" t="s">
        <v>3331</v>
      </c>
      <c r="F918" s="8" t="s">
        <v>3332</v>
      </c>
      <c r="G918" s="6" t="s">
        <v>3333</v>
      </c>
      <c r="H918" s="6" t="s">
        <v>932</v>
      </c>
      <c r="I918" s="6" t="s">
        <v>3334</v>
      </c>
      <c r="J918" s="6" t="s">
        <v>40</v>
      </c>
      <c r="K918" s="6"/>
      <c r="L918" s="7" t="s">
        <v>40</v>
      </c>
      <c r="M918" s="6" t="s">
        <v>76</v>
      </c>
      <c r="N918" s="6"/>
      <c r="O918" s="6">
        <f>HYPERLINK("https://docs.wto.org/imrd/directdoc.asp?DDFDocuments/t/G/TBTN23/BDI313A1.DOCX", "https://docs.wto.org/imrd/directdoc.asp?DDFDocuments/t/G/TBTN23/BDI313A1.DOCX")</f>
      </c>
      <c r="P918" s="6">
        <f>HYPERLINK("https://docs.wto.org/imrd/directdoc.asp?DDFDocuments/u/G/TBTN23/BDI313A1.DOCX", "https://docs.wto.org/imrd/directdoc.asp?DDFDocuments/u/G/TBTN23/BDI313A1.DOCX")</f>
      </c>
      <c r="Q918" s="6">
        <f>HYPERLINK("https://docs.wto.org/imrd/directdoc.asp?DDFDocuments/v/G/TBTN23/BDI313A1.DOCX", "https://docs.wto.org/imrd/directdoc.asp?DDFDocuments/v/G/TBTN23/BDI313A1.DOCX")</f>
      </c>
    </row>
    <row r="919">
      <c r="A919" s="6" t="s">
        <v>2030</v>
      </c>
      <c r="B919" s="7">
        <v>45497</v>
      </c>
      <c r="C919" s="6">
        <f>HYPERLINK("https://eping.wto.org/en/Search?viewData= G/TBT/N/BDI/357/Add.1, G/TBT/N/KEN/1437/Add.1, G/TBT/N/RWA/868/Add.1, G/TBT/N/TZA/971/Add.1, G/TBT/N/UGA/1773/Add.1"," G/TBT/N/BDI/357/Add.1, G/TBT/N/KEN/1437/Add.1, G/TBT/N/RWA/868/Add.1, G/TBT/N/TZA/971/Add.1, G/TBT/N/UGA/1773/Add.1")</f>
      </c>
      <c r="D919" s="8" t="s">
        <v>3373</v>
      </c>
      <c r="E919" s="8" t="s">
        <v>3374</v>
      </c>
      <c r="F919" s="8" t="s">
        <v>3375</v>
      </c>
      <c r="G919" s="6" t="s">
        <v>40</v>
      </c>
      <c r="H919" s="6" t="s">
        <v>841</v>
      </c>
      <c r="I919" s="6" t="s">
        <v>3334</v>
      </c>
      <c r="J919" s="6" t="s">
        <v>40</v>
      </c>
      <c r="K919" s="6"/>
      <c r="L919" s="7" t="s">
        <v>40</v>
      </c>
      <c r="M919" s="6" t="s">
        <v>76</v>
      </c>
      <c r="N919" s="6"/>
      <c r="O919" s="6">
        <f>HYPERLINK("https://docs.wto.org/imrd/directdoc.asp?DDFDocuments/t/G/TBTN23/BDI357A1.DOCX", "https://docs.wto.org/imrd/directdoc.asp?DDFDocuments/t/G/TBTN23/BDI357A1.DOCX")</f>
      </c>
      <c r="P919" s="6">
        <f>HYPERLINK("https://docs.wto.org/imrd/directdoc.asp?DDFDocuments/u/G/TBTN23/BDI357A1.DOCX", "https://docs.wto.org/imrd/directdoc.asp?DDFDocuments/u/G/TBTN23/BDI357A1.DOCX")</f>
      </c>
      <c r="Q919" s="6">
        <f>HYPERLINK("https://docs.wto.org/imrd/directdoc.asp?DDFDocuments/v/G/TBTN23/BDI357A1.DOCX", "https://docs.wto.org/imrd/directdoc.asp?DDFDocuments/v/G/TBTN23/BDI357A1.DOCX")</f>
      </c>
    </row>
    <row r="920">
      <c r="A920" s="6" t="s">
        <v>880</v>
      </c>
      <c r="B920" s="7">
        <v>45497</v>
      </c>
      <c r="C920" s="6">
        <f>HYPERLINK("https://eping.wto.org/en/Search?viewData= G/TBT/N/BDI/358/Add.1, G/TBT/N/KEN/1438/Add.1, G/TBT/N/RWA/869/Add.1, G/TBT/N/TZA/972/Add.1, G/TBT/N/UGA/1774/Add.1"," G/TBT/N/BDI/358/Add.1, G/TBT/N/KEN/1438/Add.1, G/TBT/N/RWA/869/Add.1, G/TBT/N/TZA/972/Add.1, G/TBT/N/UGA/1774/Add.1")</f>
      </c>
      <c r="D920" s="8" t="s">
        <v>3376</v>
      </c>
      <c r="E920" s="8" t="s">
        <v>3377</v>
      </c>
      <c r="F920" s="8" t="s">
        <v>3375</v>
      </c>
      <c r="G920" s="6" t="s">
        <v>3378</v>
      </c>
      <c r="H920" s="6" t="s">
        <v>3379</v>
      </c>
      <c r="I920" s="6" t="s">
        <v>3334</v>
      </c>
      <c r="J920" s="6" t="s">
        <v>40</v>
      </c>
      <c r="K920" s="6"/>
      <c r="L920" s="7" t="s">
        <v>40</v>
      </c>
      <c r="M920" s="6" t="s">
        <v>76</v>
      </c>
      <c r="N920" s="6"/>
      <c r="O920" s="6">
        <f>HYPERLINK("https://docs.wto.org/imrd/directdoc.asp?DDFDocuments/t/G/TBTN23/BDI358A1.DOCX", "https://docs.wto.org/imrd/directdoc.asp?DDFDocuments/t/G/TBTN23/BDI358A1.DOCX")</f>
      </c>
      <c r="P920" s="6">
        <f>HYPERLINK("https://docs.wto.org/imrd/directdoc.asp?DDFDocuments/u/G/TBTN23/BDI358A1.DOCX", "https://docs.wto.org/imrd/directdoc.asp?DDFDocuments/u/G/TBTN23/BDI358A1.DOCX")</f>
      </c>
      <c r="Q920" s="6">
        <f>HYPERLINK("https://docs.wto.org/imrd/directdoc.asp?DDFDocuments/v/G/TBTN23/BDI358A1.DOCX", "https://docs.wto.org/imrd/directdoc.asp?DDFDocuments/v/G/TBTN23/BDI358A1.DOCX")</f>
      </c>
    </row>
    <row r="921">
      <c r="A921" s="6" t="s">
        <v>2041</v>
      </c>
      <c r="B921" s="7">
        <v>45497</v>
      </c>
      <c r="C921" s="6">
        <f>HYPERLINK("https://eping.wto.org/en/Search?viewData= G/TBT/N/BDI/406/Add.1, G/TBT/N/KEN/1501/Add.1, G/TBT/N/RWA/930/Add.1, G/TBT/N/TZA/1034/Add.1, G/TBT/N/UGA/1841/Add.1"," G/TBT/N/BDI/406/Add.1, G/TBT/N/KEN/1501/Add.1, G/TBT/N/RWA/930/Add.1, G/TBT/N/TZA/1034/Add.1, G/TBT/N/UGA/1841/Add.1")</f>
      </c>
      <c r="D921" s="8" t="s">
        <v>3380</v>
      </c>
      <c r="E921" s="8" t="s">
        <v>3381</v>
      </c>
      <c r="F921" s="8" t="s">
        <v>3382</v>
      </c>
      <c r="G921" s="6" t="s">
        <v>3383</v>
      </c>
      <c r="H921" s="6" t="s">
        <v>3036</v>
      </c>
      <c r="I921" s="6" t="s">
        <v>3280</v>
      </c>
      <c r="J921" s="6" t="s">
        <v>122</v>
      </c>
      <c r="K921" s="6"/>
      <c r="L921" s="7" t="s">
        <v>40</v>
      </c>
      <c r="M921" s="6" t="s">
        <v>76</v>
      </c>
      <c r="N921" s="6"/>
      <c r="O921" s="6">
        <f>HYPERLINK("https://docs.wto.org/imrd/directdoc.asp?DDFDocuments/t/G/TBTN23/BDI406A1.DOCX", "https://docs.wto.org/imrd/directdoc.asp?DDFDocuments/t/G/TBTN23/BDI406A1.DOCX")</f>
      </c>
      <c r="P921" s="6">
        <f>HYPERLINK("https://docs.wto.org/imrd/directdoc.asp?DDFDocuments/u/G/TBTN23/BDI406A1.DOCX", "https://docs.wto.org/imrd/directdoc.asp?DDFDocuments/u/G/TBTN23/BDI406A1.DOCX")</f>
      </c>
      <c r="Q921" s="6">
        <f>HYPERLINK("https://docs.wto.org/imrd/directdoc.asp?DDFDocuments/v/G/TBTN23/BDI406A1.DOCX", "https://docs.wto.org/imrd/directdoc.asp?DDFDocuments/v/G/TBTN23/BDI406A1.DOCX")</f>
      </c>
    </row>
    <row r="922">
      <c r="A922" s="6" t="s">
        <v>373</v>
      </c>
      <c r="B922" s="7">
        <v>45497</v>
      </c>
      <c r="C922" s="6">
        <f>HYPERLINK("https://eping.wto.org/en/Search?viewData= G/TBT/N/ISR/1353"," G/TBT/N/ISR/1353")</f>
      </c>
      <c r="D922" s="8" t="s">
        <v>3384</v>
      </c>
      <c r="E922" s="8" t="s">
        <v>3385</v>
      </c>
      <c r="F922" s="8" t="s">
        <v>3386</v>
      </c>
      <c r="G922" s="6" t="s">
        <v>3387</v>
      </c>
      <c r="H922" s="6" t="s">
        <v>3388</v>
      </c>
      <c r="I922" s="6" t="s">
        <v>1166</v>
      </c>
      <c r="J922" s="6" t="s">
        <v>40</v>
      </c>
      <c r="K922" s="6"/>
      <c r="L922" s="7">
        <v>45557</v>
      </c>
      <c r="M922" s="6" t="s">
        <v>25</v>
      </c>
      <c r="N922" s="8" t="s">
        <v>3389</v>
      </c>
      <c r="O922" s="6">
        <f>HYPERLINK("https://docs.wto.org/imrd/directdoc.asp?DDFDocuments/t/G/TBTN24/ISR1353.DOCX", "https://docs.wto.org/imrd/directdoc.asp?DDFDocuments/t/G/TBTN24/ISR1353.DOCX")</f>
      </c>
      <c r="P922" s="6">
        <f>HYPERLINK("https://docs.wto.org/imrd/directdoc.asp?DDFDocuments/u/G/TBTN24/ISR1353.DOCX", "https://docs.wto.org/imrd/directdoc.asp?DDFDocuments/u/G/TBTN24/ISR1353.DOCX")</f>
      </c>
      <c r="Q922" s="6">
        <f>HYPERLINK("https://docs.wto.org/imrd/directdoc.asp?DDFDocuments/v/G/TBTN24/ISR1353.DOCX", "https://docs.wto.org/imrd/directdoc.asp?DDFDocuments/v/G/TBTN24/ISR1353.DOCX")</f>
      </c>
    </row>
    <row r="923">
      <c r="A923" s="6" t="s">
        <v>2030</v>
      </c>
      <c r="B923" s="7">
        <v>45497</v>
      </c>
      <c r="C923" s="6">
        <f>HYPERLINK("https://eping.wto.org/en/Search?viewData= G/TBT/N/BDI/294/Add.1, G/TBT/N/KEN/1329/Add.1, G/TBT/N/RWA/736/Add.1, G/TBT/N/TZA/852/Add.1, G/TBT/N/UGA/1703/Add.1"," G/TBT/N/BDI/294/Add.1, G/TBT/N/KEN/1329/Add.1, G/TBT/N/RWA/736/Add.1, G/TBT/N/TZA/852/Add.1, G/TBT/N/UGA/1703/Add.1")</f>
      </c>
      <c r="D923" s="8" t="s">
        <v>3360</v>
      </c>
      <c r="E923" s="8" t="s">
        <v>3361</v>
      </c>
      <c r="F923" s="8" t="s">
        <v>3362</v>
      </c>
      <c r="G923" s="6" t="s">
        <v>3363</v>
      </c>
      <c r="H923" s="6" t="s">
        <v>3364</v>
      </c>
      <c r="I923" s="6" t="s">
        <v>2392</v>
      </c>
      <c r="J923" s="6" t="s">
        <v>40</v>
      </c>
      <c r="K923" s="6"/>
      <c r="L923" s="7" t="s">
        <v>40</v>
      </c>
      <c r="M923" s="6" t="s">
        <v>76</v>
      </c>
      <c r="N923" s="6"/>
      <c r="O923" s="6">
        <f>HYPERLINK("https://docs.wto.org/imrd/directdoc.asp?DDFDocuments/t/G/TBTN22/BDI294A1.DOCX", "https://docs.wto.org/imrd/directdoc.asp?DDFDocuments/t/G/TBTN22/BDI294A1.DOCX")</f>
      </c>
      <c r="P923" s="6">
        <f>HYPERLINK("https://docs.wto.org/imrd/directdoc.asp?DDFDocuments/u/G/TBTN22/BDI294A1.DOCX", "https://docs.wto.org/imrd/directdoc.asp?DDFDocuments/u/G/TBTN22/BDI294A1.DOCX")</f>
      </c>
      <c r="Q923" s="6">
        <f>HYPERLINK("https://docs.wto.org/imrd/directdoc.asp?DDFDocuments/v/G/TBTN22/BDI294A1.DOCX", "https://docs.wto.org/imrd/directdoc.asp?DDFDocuments/v/G/TBTN22/BDI294A1.DOCX")</f>
      </c>
    </row>
    <row r="924">
      <c r="A924" s="6" t="s">
        <v>2041</v>
      </c>
      <c r="B924" s="7">
        <v>45497</v>
      </c>
      <c r="C924" s="6">
        <f>HYPERLINK("https://eping.wto.org/en/Search?viewData= G/TBT/N/BDI/434/Add.1, G/TBT/N/KEN/1539/Add.1, G/TBT/N/RWA/969/Add.1, G/TBT/N/TZA/1070/Add.1, G/TBT/N/UGA/1884/Add.1"," G/TBT/N/BDI/434/Add.1, G/TBT/N/KEN/1539/Add.1, G/TBT/N/RWA/969/Add.1, G/TBT/N/TZA/1070/Add.1, G/TBT/N/UGA/1884/Add.1")</f>
      </c>
      <c r="D924" s="8" t="s">
        <v>3337</v>
      </c>
      <c r="E924" s="8" t="s">
        <v>3338</v>
      </c>
      <c r="F924" s="8" t="s">
        <v>3339</v>
      </c>
      <c r="G924" s="6" t="s">
        <v>40</v>
      </c>
      <c r="H924" s="6" t="s">
        <v>363</v>
      </c>
      <c r="I924" s="6" t="s">
        <v>3334</v>
      </c>
      <c r="J924" s="6" t="s">
        <v>40</v>
      </c>
      <c r="K924" s="6"/>
      <c r="L924" s="7" t="s">
        <v>40</v>
      </c>
      <c r="M924" s="6" t="s">
        <v>76</v>
      </c>
      <c r="N924" s="6"/>
      <c r="O924" s="6">
        <f>HYPERLINK("https://docs.wto.org/imrd/directdoc.asp?DDFDocuments/t/G/TBTN23/BDI434A1.DOCX", "https://docs.wto.org/imrd/directdoc.asp?DDFDocuments/t/G/TBTN23/BDI434A1.DOCX")</f>
      </c>
      <c r="P924" s="6">
        <f>HYPERLINK("https://docs.wto.org/imrd/directdoc.asp?DDFDocuments/u/G/TBTN23/BDI434A1.DOCX", "https://docs.wto.org/imrd/directdoc.asp?DDFDocuments/u/G/TBTN23/BDI434A1.DOCX")</f>
      </c>
      <c r="Q924" s="6">
        <f>HYPERLINK("https://docs.wto.org/imrd/directdoc.asp?DDFDocuments/v/G/TBTN23/BDI434A1.DOCX", "https://docs.wto.org/imrd/directdoc.asp?DDFDocuments/v/G/TBTN23/BDI434A1.DOCX")</f>
      </c>
    </row>
    <row r="925">
      <c r="A925" s="6" t="s">
        <v>160</v>
      </c>
      <c r="B925" s="7">
        <v>45497</v>
      </c>
      <c r="C925" s="6">
        <f>HYPERLINK("https://eping.wto.org/en/Search?viewData= G/TBT/N/USA/508/Rev.1/Add.3"," G/TBT/N/USA/508/Rev.1/Add.3")</f>
      </c>
      <c r="D925" s="8" t="s">
        <v>3390</v>
      </c>
      <c r="E925" s="8" t="s">
        <v>3391</v>
      </c>
      <c r="F925" s="8" t="s">
        <v>3392</v>
      </c>
      <c r="G925" s="6" t="s">
        <v>40</v>
      </c>
      <c r="H925" s="6" t="s">
        <v>3393</v>
      </c>
      <c r="I925" s="6" t="s">
        <v>3394</v>
      </c>
      <c r="J925" s="6" t="s">
        <v>40</v>
      </c>
      <c r="K925" s="6"/>
      <c r="L925" s="7">
        <v>45526</v>
      </c>
      <c r="M925" s="6" t="s">
        <v>76</v>
      </c>
      <c r="N925" s="8" t="s">
        <v>3395</v>
      </c>
      <c r="O925" s="6">
        <f>HYPERLINK("https://docs.wto.org/imrd/directdoc.asp?DDFDocuments/t/G/TBTN09/USA508R1A3.DOCX", "https://docs.wto.org/imrd/directdoc.asp?DDFDocuments/t/G/TBTN09/USA508R1A3.DOCX")</f>
      </c>
      <c r="P925" s="6">
        <f>HYPERLINK("https://docs.wto.org/imrd/directdoc.asp?DDFDocuments/u/G/TBTN09/USA508R1A3.DOCX", "https://docs.wto.org/imrd/directdoc.asp?DDFDocuments/u/G/TBTN09/USA508R1A3.DOCX")</f>
      </c>
      <c r="Q925" s="6">
        <f>HYPERLINK("https://docs.wto.org/imrd/directdoc.asp?DDFDocuments/v/G/TBTN09/USA508R1A3.DOCX", "https://docs.wto.org/imrd/directdoc.asp?DDFDocuments/v/G/TBTN09/USA508R1A3.DOCX")</f>
      </c>
    </row>
    <row r="926">
      <c r="A926" s="6" t="s">
        <v>136</v>
      </c>
      <c r="B926" s="7">
        <v>45497</v>
      </c>
      <c r="C926" s="6">
        <f>HYPERLINK("https://eping.wto.org/en/Search?viewData= G/SPS/N/PER/1053"," G/SPS/N/PER/1053")</f>
      </c>
      <c r="D926" s="8" t="s">
        <v>3396</v>
      </c>
      <c r="E926" s="8" t="s">
        <v>3397</v>
      </c>
      <c r="F926" s="8" t="s">
        <v>3398</v>
      </c>
      <c r="G926" s="6" t="s">
        <v>3399</v>
      </c>
      <c r="H926" s="6" t="s">
        <v>40</v>
      </c>
      <c r="I926" s="6" t="s">
        <v>353</v>
      </c>
      <c r="J926" s="6" t="s">
        <v>915</v>
      </c>
      <c r="K926" s="6" t="s">
        <v>307</v>
      </c>
      <c r="L926" s="7" t="s">
        <v>40</v>
      </c>
      <c r="M926" s="6" t="s">
        <v>25</v>
      </c>
      <c r="N926" s="8" t="s">
        <v>3400</v>
      </c>
      <c r="O926" s="6">
        <f>HYPERLINK("https://docs.wto.org/imrd/directdoc.asp?DDFDocuments/t/G/SPS/NPER1053.DOCX", "https://docs.wto.org/imrd/directdoc.asp?DDFDocuments/t/G/SPS/NPER1053.DOCX")</f>
      </c>
      <c r="P926" s="6">
        <f>HYPERLINK("https://docs.wto.org/imrd/directdoc.asp?DDFDocuments/u/G/SPS/NPER1053.DOCX", "https://docs.wto.org/imrd/directdoc.asp?DDFDocuments/u/G/SPS/NPER1053.DOCX")</f>
      </c>
      <c r="Q926" s="6">
        <f>HYPERLINK("https://docs.wto.org/imrd/directdoc.asp?DDFDocuments/v/G/SPS/NPER1053.DOCX", "https://docs.wto.org/imrd/directdoc.asp?DDFDocuments/v/G/SPS/NPER1053.DOCX")</f>
      </c>
    </row>
    <row r="927">
      <c r="A927" s="6" t="s">
        <v>348</v>
      </c>
      <c r="B927" s="7">
        <v>45497</v>
      </c>
      <c r="C927" s="6">
        <f>HYPERLINK("https://eping.wto.org/en/Search?viewData= G/SPS/N/RUS/285"," G/SPS/N/RUS/285")</f>
      </c>
      <c r="D927" s="8" t="s">
        <v>3401</v>
      </c>
      <c r="E927" s="8" t="s">
        <v>3402</v>
      </c>
      <c r="F927" s="8" t="s">
        <v>3031</v>
      </c>
      <c r="G927" s="6" t="s">
        <v>3403</v>
      </c>
      <c r="H927" s="6" t="s">
        <v>40</v>
      </c>
      <c r="I927" s="6" t="s">
        <v>353</v>
      </c>
      <c r="J927" s="6" t="s">
        <v>3404</v>
      </c>
      <c r="K927" s="6" t="s">
        <v>3405</v>
      </c>
      <c r="L927" s="7" t="s">
        <v>40</v>
      </c>
      <c r="M927" s="6" t="s">
        <v>356</v>
      </c>
      <c r="N927" s="8" t="s">
        <v>3406</v>
      </c>
      <c r="O927" s="6">
        <f>HYPERLINK("https://docs.wto.org/imrd/directdoc.asp?DDFDocuments/t/G/SPS/NRUS285.DOCX", "https://docs.wto.org/imrd/directdoc.asp?DDFDocuments/t/G/SPS/NRUS285.DOCX")</f>
      </c>
      <c r="P927" s="6">
        <f>HYPERLINK("https://docs.wto.org/imrd/directdoc.asp?DDFDocuments/u/G/SPS/NRUS285.DOCX", "https://docs.wto.org/imrd/directdoc.asp?DDFDocuments/u/G/SPS/NRUS285.DOCX")</f>
      </c>
      <c r="Q927" s="6">
        <f>HYPERLINK("https://docs.wto.org/imrd/directdoc.asp?DDFDocuments/v/G/SPS/NRUS285.DOCX", "https://docs.wto.org/imrd/directdoc.asp?DDFDocuments/v/G/SPS/NRUS285.DOCX")</f>
      </c>
    </row>
    <row r="928">
      <c r="A928" s="6" t="s">
        <v>17</v>
      </c>
      <c r="B928" s="7">
        <v>45497</v>
      </c>
      <c r="C928" s="6">
        <f>HYPERLINK("https://eping.wto.org/en/Search?viewData= G/TBT/N/BDI/357/Add.1, G/TBT/N/KEN/1437/Add.1, G/TBT/N/RWA/868/Add.1, G/TBT/N/TZA/971/Add.1, G/TBT/N/UGA/1773/Add.1"," G/TBT/N/BDI/357/Add.1, G/TBT/N/KEN/1437/Add.1, G/TBT/N/RWA/868/Add.1, G/TBT/N/TZA/971/Add.1, G/TBT/N/UGA/1773/Add.1")</f>
      </c>
      <c r="D928" s="8" t="s">
        <v>3373</v>
      </c>
      <c r="E928" s="8" t="s">
        <v>3374</v>
      </c>
      <c r="F928" s="8" t="s">
        <v>3375</v>
      </c>
      <c r="G928" s="6" t="s">
        <v>40</v>
      </c>
      <c r="H928" s="6" t="s">
        <v>841</v>
      </c>
      <c r="I928" s="6" t="s">
        <v>3407</v>
      </c>
      <c r="J928" s="6" t="s">
        <v>40</v>
      </c>
      <c r="K928" s="6"/>
      <c r="L928" s="7" t="s">
        <v>40</v>
      </c>
      <c r="M928" s="6" t="s">
        <v>76</v>
      </c>
      <c r="N928" s="6"/>
      <c r="O928" s="6">
        <f>HYPERLINK("https://docs.wto.org/imrd/directdoc.asp?DDFDocuments/t/G/TBTN23/BDI357A1.DOCX", "https://docs.wto.org/imrd/directdoc.asp?DDFDocuments/t/G/TBTN23/BDI357A1.DOCX")</f>
      </c>
      <c r="P928" s="6">
        <f>HYPERLINK("https://docs.wto.org/imrd/directdoc.asp?DDFDocuments/u/G/TBTN23/BDI357A1.DOCX", "https://docs.wto.org/imrd/directdoc.asp?DDFDocuments/u/G/TBTN23/BDI357A1.DOCX")</f>
      </c>
      <c r="Q928" s="6">
        <f>HYPERLINK("https://docs.wto.org/imrd/directdoc.asp?DDFDocuments/v/G/TBTN23/BDI357A1.DOCX", "https://docs.wto.org/imrd/directdoc.asp?DDFDocuments/v/G/TBTN23/BDI357A1.DOCX")</f>
      </c>
    </row>
    <row r="929">
      <c r="A929" s="6" t="s">
        <v>17</v>
      </c>
      <c r="B929" s="7">
        <v>45497</v>
      </c>
      <c r="C929" s="6">
        <f>HYPERLINK("https://eping.wto.org/en/Search?viewData= G/TBT/N/BDI/358/Add.1, G/TBT/N/KEN/1438/Add.1, G/TBT/N/RWA/869/Add.1, G/TBT/N/TZA/972/Add.1, G/TBT/N/UGA/1774/Add.1"," G/TBT/N/BDI/358/Add.1, G/TBT/N/KEN/1438/Add.1, G/TBT/N/RWA/869/Add.1, G/TBT/N/TZA/972/Add.1, G/TBT/N/UGA/1774/Add.1")</f>
      </c>
      <c r="D929" s="8" t="s">
        <v>3376</v>
      </c>
      <c r="E929" s="8" t="s">
        <v>3377</v>
      </c>
      <c r="F929" s="8" t="s">
        <v>3375</v>
      </c>
      <c r="G929" s="6" t="s">
        <v>3378</v>
      </c>
      <c r="H929" s="6" t="s">
        <v>3379</v>
      </c>
      <c r="I929" s="6" t="s">
        <v>3407</v>
      </c>
      <c r="J929" s="6" t="s">
        <v>40</v>
      </c>
      <c r="K929" s="6"/>
      <c r="L929" s="7" t="s">
        <v>40</v>
      </c>
      <c r="M929" s="6" t="s">
        <v>76</v>
      </c>
      <c r="N929" s="6"/>
      <c r="O929" s="6">
        <f>HYPERLINK("https://docs.wto.org/imrd/directdoc.asp?DDFDocuments/t/G/TBTN23/BDI358A1.DOCX", "https://docs.wto.org/imrd/directdoc.asp?DDFDocuments/t/G/TBTN23/BDI358A1.DOCX")</f>
      </c>
      <c r="P929" s="6">
        <f>HYPERLINK("https://docs.wto.org/imrd/directdoc.asp?DDFDocuments/u/G/TBTN23/BDI358A1.DOCX", "https://docs.wto.org/imrd/directdoc.asp?DDFDocuments/u/G/TBTN23/BDI358A1.DOCX")</f>
      </c>
      <c r="Q929" s="6">
        <f>HYPERLINK("https://docs.wto.org/imrd/directdoc.asp?DDFDocuments/v/G/TBTN23/BDI358A1.DOCX", "https://docs.wto.org/imrd/directdoc.asp?DDFDocuments/v/G/TBTN23/BDI358A1.DOCX")</f>
      </c>
    </row>
    <row r="930">
      <c r="A930" s="6" t="s">
        <v>2024</v>
      </c>
      <c r="B930" s="7">
        <v>45497</v>
      </c>
      <c r="C930" s="6">
        <f>HYPERLINK("https://eping.wto.org/en/Search?viewData= G/TBT/N/BDI/295/Add.1, G/TBT/N/KEN/1330/Add.1, G/TBT/N/RWA/737/Add.1, G/TBT/N/TZA/855/Add.1, G/TBT/N/UGA/1704/Add.1"," G/TBT/N/BDI/295/Add.1, G/TBT/N/KEN/1330/Add.1, G/TBT/N/RWA/737/Add.1, G/TBT/N/TZA/855/Add.1, G/TBT/N/UGA/1704/Add.1")</f>
      </c>
      <c r="D930" s="8" t="s">
        <v>3335</v>
      </c>
      <c r="E930" s="8" t="s">
        <v>3336</v>
      </c>
      <c r="F930" s="8" t="s">
        <v>3332</v>
      </c>
      <c r="G930" s="6" t="s">
        <v>40</v>
      </c>
      <c r="H930" s="6" t="s">
        <v>932</v>
      </c>
      <c r="I930" s="6" t="s">
        <v>3334</v>
      </c>
      <c r="J930" s="6" t="s">
        <v>40</v>
      </c>
      <c r="K930" s="6"/>
      <c r="L930" s="7" t="s">
        <v>40</v>
      </c>
      <c r="M930" s="6" t="s">
        <v>76</v>
      </c>
      <c r="N930" s="6"/>
      <c r="O930" s="6">
        <f>HYPERLINK("https://docs.wto.org/imrd/directdoc.asp?DDFDocuments/t/G/TBTN22/BDI295A1.DOCX", "https://docs.wto.org/imrd/directdoc.asp?DDFDocuments/t/G/TBTN22/BDI295A1.DOCX")</f>
      </c>
      <c r="P930" s="6">
        <f>HYPERLINK("https://docs.wto.org/imrd/directdoc.asp?DDFDocuments/u/G/TBTN22/BDI295A1.DOCX", "https://docs.wto.org/imrd/directdoc.asp?DDFDocuments/u/G/TBTN22/BDI295A1.DOCX")</f>
      </c>
      <c r="Q930" s="6">
        <f>HYPERLINK("https://docs.wto.org/imrd/directdoc.asp?DDFDocuments/v/G/TBTN22/BDI295A1.DOCX", "https://docs.wto.org/imrd/directdoc.asp?DDFDocuments/v/G/TBTN22/BDI295A1.DOCX")</f>
      </c>
    </row>
    <row r="931">
      <c r="A931" s="6" t="s">
        <v>2030</v>
      </c>
      <c r="B931" s="7">
        <v>45497</v>
      </c>
      <c r="C931" s="6">
        <f>HYPERLINK("https://eping.wto.org/en/Search?viewData= G/TBT/N/BDI/358/Add.1, G/TBT/N/KEN/1438/Add.1, G/TBT/N/RWA/869/Add.1, G/TBT/N/TZA/972/Add.1, G/TBT/N/UGA/1774/Add.1"," G/TBT/N/BDI/358/Add.1, G/TBT/N/KEN/1438/Add.1, G/TBT/N/RWA/869/Add.1, G/TBT/N/TZA/972/Add.1, G/TBT/N/UGA/1774/Add.1")</f>
      </c>
      <c r="D931" s="8" t="s">
        <v>3376</v>
      </c>
      <c r="E931" s="8" t="s">
        <v>3377</v>
      </c>
      <c r="F931" s="8" t="s">
        <v>3375</v>
      </c>
      <c r="G931" s="6" t="s">
        <v>3378</v>
      </c>
      <c r="H931" s="6" t="s">
        <v>3379</v>
      </c>
      <c r="I931" s="6" t="s">
        <v>3334</v>
      </c>
      <c r="J931" s="6" t="s">
        <v>40</v>
      </c>
      <c r="K931" s="6"/>
      <c r="L931" s="7" t="s">
        <v>40</v>
      </c>
      <c r="M931" s="6" t="s">
        <v>76</v>
      </c>
      <c r="N931" s="6"/>
      <c r="O931" s="6">
        <f>HYPERLINK("https://docs.wto.org/imrd/directdoc.asp?DDFDocuments/t/G/TBTN23/BDI358A1.DOCX", "https://docs.wto.org/imrd/directdoc.asp?DDFDocuments/t/G/TBTN23/BDI358A1.DOCX")</f>
      </c>
      <c r="P931" s="6">
        <f>HYPERLINK("https://docs.wto.org/imrd/directdoc.asp?DDFDocuments/u/G/TBTN23/BDI358A1.DOCX", "https://docs.wto.org/imrd/directdoc.asp?DDFDocuments/u/G/TBTN23/BDI358A1.DOCX")</f>
      </c>
      <c r="Q931" s="6">
        <f>HYPERLINK("https://docs.wto.org/imrd/directdoc.asp?DDFDocuments/v/G/TBTN23/BDI358A1.DOCX", "https://docs.wto.org/imrd/directdoc.asp?DDFDocuments/v/G/TBTN23/BDI358A1.DOCX")</f>
      </c>
    </row>
    <row r="932">
      <c r="A932" s="6" t="s">
        <v>2024</v>
      </c>
      <c r="B932" s="7">
        <v>45497</v>
      </c>
      <c r="C932" s="6">
        <f>HYPERLINK("https://eping.wto.org/en/Search?viewData= G/TBT/N/BDI/294/Add.1, G/TBT/N/KEN/1329/Add.1, G/TBT/N/RWA/736/Add.1, G/TBT/N/TZA/852/Add.1, G/TBT/N/UGA/1703/Add.1"," G/TBT/N/BDI/294/Add.1, G/TBT/N/KEN/1329/Add.1, G/TBT/N/RWA/736/Add.1, G/TBT/N/TZA/852/Add.1, G/TBT/N/UGA/1703/Add.1")</f>
      </c>
      <c r="D932" s="8" t="s">
        <v>3360</v>
      </c>
      <c r="E932" s="8" t="s">
        <v>3361</v>
      </c>
      <c r="F932" s="8" t="s">
        <v>3362</v>
      </c>
      <c r="G932" s="6" t="s">
        <v>3363</v>
      </c>
      <c r="H932" s="6" t="s">
        <v>3364</v>
      </c>
      <c r="I932" s="6" t="s">
        <v>2392</v>
      </c>
      <c r="J932" s="6" t="s">
        <v>40</v>
      </c>
      <c r="K932" s="6"/>
      <c r="L932" s="7" t="s">
        <v>40</v>
      </c>
      <c r="M932" s="6" t="s">
        <v>76</v>
      </c>
      <c r="N932" s="6"/>
      <c r="O932" s="6">
        <f>HYPERLINK("https://docs.wto.org/imrd/directdoc.asp?DDFDocuments/t/G/TBTN22/BDI294A1.DOCX", "https://docs.wto.org/imrd/directdoc.asp?DDFDocuments/t/G/TBTN22/BDI294A1.DOCX")</f>
      </c>
      <c r="P932" s="6">
        <f>HYPERLINK("https://docs.wto.org/imrd/directdoc.asp?DDFDocuments/u/G/TBTN22/BDI294A1.DOCX", "https://docs.wto.org/imrd/directdoc.asp?DDFDocuments/u/G/TBTN22/BDI294A1.DOCX")</f>
      </c>
      <c r="Q932" s="6">
        <f>HYPERLINK("https://docs.wto.org/imrd/directdoc.asp?DDFDocuments/v/G/TBTN22/BDI294A1.DOCX", "https://docs.wto.org/imrd/directdoc.asp?DDFDocuments/v/G/TBTN22/BDI294A1.DOCX")</f>
      </c>
    </row>
    <row r="933">
      <c r="A933" s="6" t="s">
        <v>880</v>
      </c>
      <c r="B933" s="7">
        <v>45497</v>
      </c>
      <c r="C933" s="6">
        <f>HYPERLINK("https://eping.wto.org/en/Search?viewData= G/TBT/N/BDI/294/Add.1, G/TBT/N/KEN/1329/Add.1, G/TBT/N/RWA/736/Add.1, G/TBT/N/TZA/852/Add.1, G/TBT/N/UGA/1703/Add.1"," G/TBT/N/BDI/294/Add.1, G/TBT/N/KEN/1329/Add.1, G/TBT/N/RWA/736/Add.1, G/TBT/N/TZA/852/Add.1, G/TBT/N/UGA/1703/Add.1")</f>
      </c>
      <c r="D933" s="8" t="s">
        <v>3360</v>
      </c>
      <c r="E933" s="8" t="s">
        <v>3361</v>
      </c>
      <c r="F933" s="8" t="s">
        <v>3362</v>
      </c>
      <c r="G933" s="6" t="s">
        <v>3363</v>
      </c>
      <c r="H933" s="6" t="s">
        <v>3364</v>
      </c>
      <c r="I933" s="6" t="s">
        <v>2392</v>
      </c>
      <c r="J933" s="6" t="s">
        <v>40</v>
      </c>
      <c r="K933" s="6"/>
      <c r="L933" s="7" t="s">
        <v>40</v>
      </c>
      <c r="M933" s="6" t="s">
        <v>76</v>
      </c>
      <c r="N933" s="6"/>
      <c r="O933" s="6">
        <f>HYPERLINK("https://docs.wto.org/imrd/directdoc.asp?DDFDocuments/t/G/TBTN22/BDI294A1.DOCX", "https://docs.wto.org/imrd/directdoc.asp?DDFDocuments/t/G/TBTN22/BDI294A1.DOCX")</f>
      </c>
      <c r="P933" s="6">
        <f>HYPERLINK("https://docs.wto.org/imrd/directdoc.asp?DDFDocuments/u/G/TBTN22/BDI294A1.DOCX", "https://docs.wto.org/imrd/directdoc.asp?DDFDocuments/u/G/TBTN22/BDI294A1.DOCX")</f>
      </c>
      <c r="Q933" s="6">
        <f>HYPERLINK("https://docs.wto.org/imrd/directdoc.asp?DDFDocuments/v/G/TBTN22/BDI294A1.DOCX", "https://docs.wto.org/imrd/directdoc.asp?DDFDocuments/v/G/TBTN22/BDI294A1.DOCX")</f>
      </c>
    </row>
    <row r="934">
      <c r="A934" s="6" t="s">
        <v>2024</v>
      </c>
      <c r="B934" s="7">
        <v>45497</v>
      </c>
      <c r="C934" s="6">
        <f>HYPERLINK("https://eping.wto.org/en/Search?viewData= G/TBT/N/BDI/406/Add.1, G/TBT/N/KEN/1501/Add.1, G/TBT/N/RWA/930/Add.1, G/TBT/N/TZA/1034/Add.1, G/TBT/N/UGA/1841/Add.1"," G/TBT/N/BDI/406/Add.1, G/TBT/N/KEN/1501/Add.1, G/TBT/N/RWA/930/Add.1, G/TBT/N/TZA/1034/Add.1, G/TBT/N/UGA/1841/Add.1")</f>
      </c>
      <c r="D934" s="8" t="s">
        <v>3380</v>
      </c>
      <c r="E934" s="8" t="s">
        <v>3381</v>
      </c>
      <c r="F934" s="8" t="s">
        <v>3382</v>
      </c>
      <c r="G934" s="6" t="s">
        <v>3383</v>
      </c>
      <c r="H934" s="6" t="s">
        <v>3036</v>
      </c>
      <c r="I934" s="6" t="s">
        <v>3280</v>
      </c>
      <c r="J934" s="6" t="s">
        <v>122</v>
      </c>
      <c r="K934" s="6"/>
      <c r="L934" s="7" t="s">
        <v>40</v>
      </c>
      <c r="M934" s="6" t="s">
        <v>76</v>
      </c>
      <c r="N934" s="6"/>
      <c r="O934" s="6">
        <f>HYPERLINK("https://docs.wto.org/imrd/directdoc.asp?DDFDocuments/t/G/TBTN23/BDI406A1.DOCX", "https://docs.wto.org/imrd/directdoc.asp?DDFDocuments/t/G/TBTN23/BDI406A1.DOCX")</f>
      </c>
      <c r="P934" s="6">
        <f>HYPERLINK("https://docs.wto.org/imrd/directdoc.asp?DDFDocuments/u/G/TBTN23/BDI406A1.DOCX", "https://docs.wto.org/imrd/directdoc.asp?DDFDocuments/u/G/TBTN23/BDI406A1.DOCX")</f>
      </c>
      <c r="Q934" s="6">
        <f>HYPERLINK("https://docs.wto.org/imrd/directdoc.asp?DDFDocuments/v/G/TBTN23/BDI406A1.DOCX", "https://docs.wto.org/imrd/directdoc.asp?DDFDocuments/v/G/TBTN23/BDI406A1.DOCX")</f>
      </c>
    </row>
    <row r="935">
      <c r="A935" s="6" t="s">
        <v>2041</v>
      </c>
      <c r="B935" s="7">
        <v>45497</v>
      </c>
      <c r="C935" s="6">
        <f>HYPERLINK("https://eping.wto.org/en/Search?viewData= G/TBT/N/BDI/299/Add.1, G/TBT/N/KEN/1334/Add.1, G/TBT/N/RWA/741/Add.1, G/TBT/N/TZA/859/Add.1, G/TBT/N/UGA/1708/Add.1"," G/TBT/N/BDI/299/Add.1, G/TBT/N/KEN/1334/Add.1, G/TBT/N/RWA/741/Add.1, G/TBT/N/TZA/859/Add.1, G/TBT/N/UGA/1708/Add.1")</f>
      </c>
      <c r="D935" s="8" t="s">
        <v>3408</v>
      </c>
      <c r="E935" s="8" t="s">
        <v>3409</v>
      </c>
      <c r="F935" s="8" t="s">
        <v>3332</v>
      </c>
      <c r="G935" s="6" t="s">
        <v>40</v>
      </c>
      <c r="H935" s="6" t="s">
        <v>932</v>
      </c>
      <c r="I935" s="6" t="s">
        <v>3334</v>
      </c>
      <c r="J935" s="6" t="s">
        <v>40</v>
      </c>
      <c r="K935" s="6"/>
      <c r="L935" s="7" t="s">
        <v>40</v>
      </c>
      <c r="M935" s="6" t="s">
        <v>76</v>
      </c>
      <c r="N935" s="6"/>
      <c r="O935" s="6">
        <f>HYPERLINK("https://docs.wto.org/imrd/directdoc.asp?DDFDocuments/t/G/TBTN22/BDI299A1.DOCX", "https://docs.wto.org/imrd/directdoc.asp?DDFDocuments/t/G/TBTN22/BDI299A1.DOCX")</f>
      </c>
      <c r="P935" s="6">
        <f>HYPERLINK("https://docs.wto.org/imrd/directdoc.asp?DDFDocuments/u/G/TBTN22/BDI299A1.DOCX", "https://docs.wto.org/imrd/directdoc.asp?DDFDocuments/u/G/TBTN22/BDI299A1.DOCX")</f>
      </c>
      <c r="Q935" s="6">
        <f>HYPERLINK("https://docs.wto.org/imrd/directdoc.asp?DDFDocuments/v/G/TBTN22/BDI299A1.DOCX", "https://docs.wto.org/imrd/directdoc.asp?DDFDocuments/v/G/TBTN22/BDI299A1.DOCX")</f>
      </c>
    </row>
    <row r="936">
      <c r="A936" s="6" t="s">
        <v>2030</v>
      </c>
      <c r="B936" s="7">
        <v>45497</v>
      </c>
      <c r="C936" s="6">
        <f>HYPERLINK("https://eping.wto.org/en/Search?viewData= G/TBT/N/BDI/328/Add.1, G/TBT/N/KEN/1390/Add.1, G/TBT/N/RWA/835/Add.1, G/TBT/N/TZA/914/Add.1, G/TBT/N/UGA/1743/Add.1"," G/TBT/N/BDI/328/Add.1, G/TBT/N/KEN/1390/Add.1, G/TBT/N/RWA/835/Add.1, G/TBT/N/TZA/914/Add.1, G/TBT/N/UGA/1743/Add.1")</f>
      </c>
      <c r="D936" s="8" t="s">
        <v>3371</v>
      </c>
      <c r="E936" s="8" t="s">
        <v>3372</v>
      </c>
      <c r="F936" s="8" t="s">
        <v>3339</v>
      </c>
      <c r="G936" s="6" t="s">
        <v>40</v>
      </c>
      <c r="H936" s="6" t="s">
        <v>363</v>
      </c>
      <c r="I936" s="6" t="s">
        <v>3334</v>
      </c>
      <c r="J936" s="6" t="s">
        <v>40</v>
      </c>
      <c r="K936" s="6"/>
      <c r="L936" s="7" t="s">
        <v>40</v>
      </c>
      <c r="M936" s="6" t="s">
        <v>76</v>
      </c>
      <c r="N936" s="6"/>
      <c r="O936" s="6">
        <f>HYPERLINK("https://docs.wto.org/imrd/directdoc.asp?DDFDocuments/t/G/TBTN23/BDI328A1.DOCX", "https://docs.wto.org/imrd/directdoc.asp?DDFDocuments/t/G/TBTN23/BDI328A1.DOCX")</f>
      </c>
      <c r="P936" s="6">
        <f>HYPERLINK("https://docs.wto.org/imrd/directdoc.asp?DDFDocuments/u/G/TBTN23/BDI328A1.DOCX", "https://docs.wto.org/imrd/directdoc.asp?DDFDocuments/u/G/TBTN23/BDI328A1.DOCX")</f>
      </c>
      <c r="Q936" s="6">
        <f>HYPERLINK("https://docs.wto.org/imrd/directdoc.asp?DDFDocuments/v/G/TBTN23/BDI328A1.DOCX", "https://docs.wto.org/imrd/directdoc.asp?DDFDocuments/v/G/TBTN23/BDI328A1.DOCX")</f>
      </c>
    </row>
    <row r="937">
      <c r="A937" s="6" t="s">
        <v>17</v>
      </c>
      <c r="B937" s="7">
        <v>45497</v>
      </c>
      <c r="C937" s="6">
        <f>HYPERLINK("https://eping.wto.org/en/Search?viewData= G/TBT/N/BDI/405/Add.1, G/TBT/N/KEN/1500/Add.1, G/TBT/N/RWA/929/Add.1, G/TBT/N/TZA/1033/Add.1, G/TBT/N/UGA/1840/Add.1"," G/TBT/N/BDI/405/Add.1, G/TBT/N/KEN/1500/Add.1, G/TBT/N/RWA/929/Add.1, G/TBT/N/TZA/1033/Add.1, G/TBT/N/UGA/1840/Add.1")</f>
      </c>
      <c r="D937" s="8" t="s">
        <v>3410</v>
      </c>
      <c r="E937" s="8" t="s">
        <v>3411</v>
      </c>
      <c r="F937" s="8" t="s">
        <v>3412</v>
      </c>
      <c r="G937" s="6" t="s">
        <v>3413</v>
      </c>
      <c r="H937" s="6" t="s">
        <v>3036</v>
      </c>
      <c r="I937" s="6" t="s">
        <v>81</v>
      </c>
      <c r="J937" s="6" t="s">
        <v>122</v>
      </c>
      <c r="K937" s="6"/>
      <c r="L937" s="7" t="s">
        <v>40</v>
      </c>
      <c r="M937" s="6" t="s">
        <v>76</v>
      </c>
      <c r="N937" s="6"/>
      <c r="O937" s="6">
        <f>HYPERLINK("https://docs.wto.org/imrd/directdoc.asp?DDFDocuments/t/G/TBTN23/BDI405A1.DOCX", "https://docs.wto.org/imrd/directdoc.asp?DDFDocuments/t/G/TBTN23/BDI405A1.DOCX")</f>
      </c>
      <c r="P937" s="6">
        <f>HYPERLINK("https://docs.wto.org/imrd/directdoc.asp?DDFDocuments/u/G/TBTN23/BDI405A1.DOCX", "https://docs.wto.org/imrd/directdoc.asp?DDFDocuments/u/G/TBTN23/BDI405A1.DOCX")</f>
      </c>
      <c r="Q937" s="6">
        <f>HYPERLINK("https://docs.wto.org/imrd/directdoc.asp?DDFDocuments/v/G/TBTN23/BDI405A1.DOCX", "https://docs.wto.org/imrd/directdoc.asp?DDFDocuments/v/G/TBTN23/BDI405A1.DOCX")</f>
      </c>
    </row>
    <row r="938">
      <c r="A938" s="6" t="s">
        <v>17</v>
      </c>
      <c r="B938" s="7">
        <v>45497</v>
      </c>
      <c r="C938" s="6">
        <f>HYPERLINK("https://eping.wto.org/en/Search?viewData= G/TBT/N/BDI/328/Add.1, G/TBT/N/KEN/1390/Add.1, G/TBT/N/RWA/835/Add.1, G/TBT/N/TZA/914/Add.1, G/TBT/N/UGA/1743/Add.1"," G/TBT/N/BDI/328/Add.1, G/TBT/N/KEN/1390/Add.1, G/TBT/N/RWA/835/Add.1, G/TBT/N/TZA/914/Add.1, G/TBT/N/UGA/1743/Add.1")</f>
      </c>
      <c r="D938" s="8" t="s">
        <v>3371</v>
      </c>
      <c r="E938" s="8" t="s">
        <v>3372</v>
      </c>
      <c r="F938" s="8" t="s">
        <v>3339</v>
      </c>
      <c r="G938" s="6" t="s">
        <v>40</v>
      </c>
      <c r="H938" s="6" t="s">
        <v>363</v>
      </c>
      <c r="I938" s="6" t="s">
        <v>3407</v>
      </c>
      <c r="J938" s="6" t="s">
        <v>40</v>
      </c>
      <c r="K938" s="6"/>
      <c r="L938" s="7" t="s">
        <v>40</v>
      </c>
      <c r="M938" s="6" t="s">
        <v>76</v>
      </c>
      <c r="N938" s="6"/>
      <c r="O938" s="6">
        <f>HYPERLINK("https://docs.wto.org/imrd/directdoc.asp?DDFDocuments/t/G/TBTN23/BDI328A1.DOCX", "https://docs.wto.org/imrd/directdoc.asp?DDFDocuments/t/G/TBTN23/BDI328A1.DOCX")</f>
      </c>
      <c r="P938" s="6">
        <f>HYPERLINK("https://docs.wto.org/imrd/directdoc.asp?DDFDocuments/u/G/TBTN23/BDI328A1.DOCX", "https://docs.wto.org/imrd/directdoc.asp?DDFDocuments/u/G/TBTN23/BDI328A1.DOCX")</f>
      </c>
      <c r="Q938" s="6">
        <f>HYPERLINK("https://docs.wto.org/imrd/directdoc.asp?DDFDocuments/v/G/TBTN23/BDI328A1.DOCX", "https://docs.wto.org/imrd/directdoc.asp?DDFDocuments/v/G/TBTN23/BDI328A1.DOCX")</f>
      </c>
    </row>
    <row r="939">
      <c r="A939" s="6" t="s">
        <v>160</v>
      </c>
      <c r="B939" s="7">
        <v>45497</v>
      </c>
      <c r="C939" s="6">
        <f>HYPERLINK("https://eping.wto.org/en/Search?viewData= G/SPS/N/USA/3462"," G/SPS/N/USA/3462")</f>
      </c>
      <c r="D939" s="8" t="s">
        <v>3414</v>
      </c>
      <c r="E939" s="8" t="s">
        <v>3415</v>
      </c>
      <c r="F939" s="8" t="s">
        <v>3416</v>
      </c>
      <c r="G939" s="6" t="s">
        <v>3417</v>
      </c>
      <c r="H939" s="6" t="s">
        <v>40</v>
      </c>
      <c r="I939" s="6" t="s">
        <v>38</v>
      </c>
      <c r="J939" s="6" t="s">
        <v>60</v>
      </c>
      <c r="K939" s="6" t="s">
        <v>40</v>
      </c>
      <c r="L939" s="7">
        <v>45548</v>
      </c>
      <c r="M939" s="6" t="s">
        <v>25</v>
      </c>
      <c r="N939" s="8" t="s">
        <v>3418</v>
      </c>
      <c r="O939" s="6">
        <f>HYPERLINK("https://docs.wto.org/imrd/directdoc.asp?DDFDocuments/t/G/SPS/NUSA3462.DOCX", "https://docs.wto.org/imrd/directdoc.asp?DDFDocuments/t/G/SPS/NUSA3462.DOCX")</f>
      </c>
      <c r="P939" s="6">
        <f>HYPERLINK("https://docs.wto.org/imrd/directdoc.asp?DDFDocuments/u/G/SPS/NUSA3462.DOCX", "https://docs.wto.org/imrd/directdoc.asp?DDFDocuments/u/G/SPS/NUSA3462.DOCX")</f>
      </c>
      <c r="Q939" s="6">
        <f>HYPERLINK("https://docs.wto.org/imrd/directdoc.asp?DDFDocuments/v/G/SPS/NUSA3462.DOCX", "https://docs.wto.org/imrd/directdoc.asp?DDFDocuments/v/G/SPS/NUSA3462.DOCX")</f>
      </c>
    </row>
    <row r="940">
      <c r="A940" s="6" t="s">
        <v>17</v>
      </c>
      <c r="B940" s="7">
        <v>45497</v>
      </c>
      <c r="C940" s="6">
        <f>HYPERLINK("https://eping.wto.org/en/Search?viewData= G/TBT/N/BDI/434/Add.1, G/TBT/N/KEN/1539/Add.1, G/TBT/N/RWA/969/Add.1, G/TBT/N/TZA/1070/Add.1, G/TBT/N/UGA/1884/Add.1"," G/TBT/N/BDI/434/Add.1, G/TBT/N/KEN/1539/Add.1, G/TBT/N/RWA/969/Add.1, G/TBT/N/TZA/1070/Add.1, G/TBT/N/UGA/1884/Add.1")</f>
      </c>
      <c r="D940" s="8" t="s">
        <v>3337</v>
      </c>
      <c r="E940" s="8" t="s">
        <v>3338</v>
      </c>
      <c r="F940" s="8" t="s">
        <v>3339</v>
      </c>
      <c r="G940" s="6" t="s">
        <v>40</v>
      </c>
      <c r="H940" s="6" t="s">
        <v>363</v>
      </c>
      <c r="I940" s="6" t="s">
        <v>3407</v>
      </c>
      <c r="J940" s="6" t="s">
        <v>40</v>
      </c>
      <c r="K940" s="6"/>
      <c r="L940" s="7" t="s">
        <v>40</v>
      </c>
      <c r="M940" s="6" t="s">
        <v>76</v>
      </c>
      <c r="N940" s="6"/>
      <c r="O940" s="6">
        <f>HYPERLINK("https://docs.wto.org/imrd/directdoc.asp?DDFDocuments/t/G/TBTN23/BDI434A1.DOCX", "https://docs.wto.org/imrd/directdoc.asp?DDFDocuments/t/G/TBTN23/BDI434A1.DOCX")</f>
      </c>
      <c r="P940" s="6">
        <f>HYPERLINK("https://docs.wto.org/imrd/directdoc.asp?DDFDocuments/u/G/TBTN23/BDI434A1.DOCX", "https://docs.wto.org/imrd/directdoc.asp?DDFDocuments/u/G/TBTN23/BDI434A1.DOCX")</f>
      </c>
      <c r="Q940" s="6">
        <f>HYPERLINK("https://docs.wto.org/imrd/directdoc.asp?DDFDocuments/v/G/TBTN23/BDI434A1.DOCX", "https://docs.wto.org/imrd/directdoc.asp?DDFDocuments/v/G/TBTN23/BDI434A1.DOCX")</f>
      </c>
    </row>
    <row r="941">
      <c r="A941" s="6" t="s">
        <v>2030</v>
      </c>
      <c r="B941" s="7">
        <v>45497</v>
      </c>
      <c r="C941" s="6">
        <f>HYPERLINK("https://eping.wto.org/en/Search?viewData= G/TBT/N/BDI/295/Add.1, G/TBT/N/KEN/1330/Add.1, G/TBT/N/RWA/737/Add.1, G/TBT/N/TZA/855/Add.1, G/TBT/N/UGA/1704/Add.1"," G/TBT/N/BDI/295/Add.1, G/TBT/N/KEN/1330/Add.1, G/TBT/N/RWA/737/Add.1, G/TBT/N/TZA/855/Add.1, G/TBT/N/UGA/1704/Add.1")</f>
      </c>
      <c r="D941" s="8" t="s">
        <v>3335</v>
      </c>
      <c r="E941" s="8" t="s">
        <v>3336</v>
      </c>
      <c r="F941" s="8" t="s">
        <v>3332</v>
      </c>
      <c r="G941" s="6" t="s">
        <v>40</v>
      </c>
      <c r="H941" s="6" t="s">
        <v>932</v>
      </c>
      <c r="I941" s="6" t="s">
        <v>3334</v>
      </c>
      <c r="J941" s="6" t="s">
        <v>40</v>
      </c>
      <c r="K941" s="6"/>
      <c r="L941" s="7" t="s">
        <v>40</v>
      </c>
      <c r="M941" s="6" t="s">
        <v>76</v>
      </c>
      <c r="N941" s="6"/>
      <c r="O941" s="6">
        <f>HYPERLINK("https://docs.wto.org/imrd/directdoc.asp?DDFDocuments/t/G/TBTN22/BDI295A1.DOCX", "https://docs.wto.org/imrd/directdoc.asp?DDFDocuments/t/G/TBTN22/BDI295A1.DOCX")</f>
      </c>
      <c r="P941" s="6">
        <f>HYPERLINK("https://docs.wto.org/imrd/directdoc.asp?DDFDocuments/u/G/TBTN22/BDI295A1.DOCX", "https://docs.wto.org/imrd/directdoc.asp?DDFDocuments/u/G/TBTN22/BDI295A1.DOCX")</f>
      </c>
      <c r="Q941" s="6">
        <f>HYPERLINK("https://docs.wto.org/imrd/directdoc.asp?DDFDocuments/v/G/TBTN22/BDI295A1.DOCX", "https://docs.wto.org/imrd/directdoc.asp?DDFDocuments/v/G/TBTN22/BDI295A1.DOCX")</f>
      </c>
    </row>
    <row r="942">
      <c r="A942" s="6" t="s">
        <v>2030</v>
      </c>
      <c r="B942" s="7">
        <v>45497</v>
      </c>
      <c r="C942" s="6">
        <f>HYPERLINK("https://eping.wto.org/en/Search?viewData= G/TBT/N/BDI/299/Add.1, G/TBT/N/KEN/1334/Add.1, G/TBT/N/RWA/741/Add.1, G/TBT/N/TZA/859/Add.1, G/TBT/N/UGA/1708/Add.1"," G/TBT/N/BDI/299/Add.1, G/TBT/N/KEN/1334/Add.1, G/TBT/N/RWA/741/Add.1, G/TBT/N/TZA/859/Add.1, G/TBT/N/UGA/1708/Add.1")</f>
      </c>
      <c r="D942" s="8" t="s">
        <v>3408</v>
      </c>
      <c r="E942" s="8" t="s">
        <v>3409</v>
      </c>
      <c r="F942" s="8" t="s">
        <v>3332</v>
      </c>
      <c r="G942" s="6" t="s">
        <v>40</v>
      </c>
      <c r="H942" s="6" t="s">
        <v>932</v>
      </c>
      <c r="I942" s="6" t="s">
        <v>3334</v>
      </c>
      <c r="J942" s="6" t="s">
        <v>40</v>
      </c>
      <c r="K942" s="6"/>
      <c r="L942" s="7" t="s">
        <v>40</v>
      </c>
      <c r="M942" s="6" t="s">
        <v>76</v>
      </c>
      <c r="N942" s="6"/>
      <c r="O942" s="6">
        <f>HYPERLINK("https://docs.wto.org/imrd/directdoc.asp?DDFDocuments/t/G/TBTN22/BDI299A1.DOCX", "https://docs.wto.org/imrd/directdoc.asp?DDFDocuments/t/G/TBTN22/BDI299A1.DOCX")</f>
      </c>
      <c r="P942" s="6">
        <f>HYPERLINK("https://docs.wto.org/imrd/directdoc.asp?DDFDocuments/u/G/TBTN22/BDI299A1.DOCX", "https://docs.wto.org/imrd/directdoc.asp?DDFDocuments/u/G/TBTN22/BDI299A1.DOCX")</f>
      </c>
      <c r="Q942" s="6">
        <f>HYPERLINK("https://docs.wto.org/imrd/directdoc.asp?DDFDocuments/v/G/TBTN22/BDI299A1.DOCX", "https://docs.wto.org/imrd/directdoc.asp?DDFDocuments/v/G/TBTN22/BDI299A1.DOCX")</f>
      </c>
    </row>
    <row r="943">
      <c r="A943" s="6" t="s">
        <v>880</v>
      </c>
      <c r="B943" s="7">
        <v>45497</v>
      </c>
      <c r="C943" s="6">
        <f>HYPERLINK("https://eping.wto.org/en/Search?viewData= G/TBT/N/BDI/434/Add.1, G/TBT/N/KEN/1539/Add.1, G/TBT/N/RWA/969/Add.1, G/TBT/N/TZA/1070/Add.1, G/TBT/N/UGA/1884/Add.1"," G/TBT/N/BDI/434/Add.1, G/TBT/N/KEN/1539/Add.1, G/TBT/N/RWA/969/Add.1, G/TBT/N/TZA/1070/Add.1, G/TBT/N/UGA/1884/Add.1")</f>
      </c>
      <c r="D943" s="8" t="s">
        <v>3337</v>
      </c>
      <c r="E943" s="8" t="s">
        <v>3338</v>
      </c>
      <c r="F943" s="8" t="s">
        <v>3339</v>
      </c>
      <c r="G943" s="6" t="s">
        <v>40</v>
      </c>
      <c r="H943" s="6" t="s">
        <v>363</v>
      </c>
      <c r="I943" s="6" t="s">
        <v>3334</v>
      </c>
      <c r="J943" s="6" t="s">
        <v>40</v>
      </c>
      <c r="K943" s="6"/>
      <c r="L943" s="7" t="s">
        <v>40</v>
      </c>
      <c r="M943" s="6" t="s">
        <v>76</v>
      </c>
      <c r="N943" s="6"/>
      <c r="O943" s="6">
        <f>HYPERLINK("https://docs.wto.org/imrd/directdoc.asp?DDFDocuments/t/G/TBTN23/BDI434A1.DOCX", "https://docs.wto.org/imrd/directdoc.asp?DDFDocuments/t/G/TBTN23/BDI434A1.DOCX")</f>
      </c>
      <c r="P943" s="6">
        <f>HYPERLINK("https://docs.wto.org/imrd/directdoc.asp?DDFDocuments/u/G/TBTN23/BDI434A1.DOCX", "https://docs.wto.org/imrd/directdoc.asp?DDFDocuments/u/G/TBTN23/BDI434A1.DOCX")</f>
      </c>
      <c r="Q943" s="6">
        <f>HYPERLINK("https://docs.wto.org/imrd/directdoc.asp?DDFDocuments/v/G/TBTN23/BDI434A1.DOCX", "https://docs.wto.org/imrd/directdoc.asp?DDFDocuments/v/G/TBTN23/BDI434A1.DOCX")</f>
      </c>
    </row>
    <row r="944">
      <c r="A944" s="6" t="s">
        <v>17</v>
      </c>
      <c r="B944" s="7">
        <v>45497</v>
      </c>
      <c r="C944" s="6">
        <f>HYPERLINK("https://eping.wto.org/en/Search?viewData= G/TBT/N/BDI/299/Add.1, G/TBT/N/KEN/1334/Add.1, G/TBT/N/RWA/741/Add.1, G/TBT/N/TZA/859/Add.1, G/TBT/N/UGA/1708/Add.1"," G/TBT/N/BDI/299/Add.1, G/TBT/N/KEN/1334/Add.1, G/TBT/N/RWA/741/Add.1, G/TBT/N/TZA/859/Add.1, G/TBT/N/UGA/1708/Add.1")</f>
      </c>
      <c r="D944" s="8" t="s">
        <v>3408</v>
      </c>
      <c r="E944" s="8" t="s">
        <v>3409</v>
      </c>
      <c r="F944" s="8" t="s">
        <v>3332</v>
      </c>
      <c r="G944" s="6" t="s">
        <v>40</v>
      </c>
      <c r="H944" s="6" t="s">
        <v>932</v>
      </c>
      <c r="I944" s="6" t="s">
        <v>3407</v>
      </c>
      <c r="J944" s="6" t="s">
        <v>40</v>
      </c>
      <c r="K944" s="6"/>
      <c r="L944" s="7" t="s">
        <v>40</v>
      </c>
      <c r="M944" s="6" t="s">
        <v>76</v>
      </c>
      <c r="N944" s="6"/>
      <c r="O944" s="6">
        <f>HYPERLINK("https://docs.wto.org/imrd/directdoc.asp?DDFDocuments/t/G/TBTN22/BDI299A1.DOCX", "https://docs.wto.org/imrd/directdoc.asp?DDFDocuments/t/G/TBTN22/BDI299A1.DOCX")</f>
      </c>
      <c r="P944" s="6">
        <f>HYPERLINK("https://docs.wto.org/imrd/directdoc.asp?DDFDocuments/u/G/TBTN22/BDI299A1.DOCX", "https://docs.wto.org/imrd/directdoc.asp?DDFDocuments/u/G/TBTN22/BDI299A1.DOCX")</f>
      </c>
      <c r="Q944" s="6">
        <f>HYPERLINK("https://docs.wto.org/imrd/directdoc.asp?DDFDocuments/v/G/TBTN22/BDI299A1.DOCX", "https://docs.wto.org/imrd/directdoc.asp?DDFDocuments/v/G/TBTN22/BDI299A1.DOCX")</f>
      </c>
    </row>
    <row r="945">
      <c r="A945" s="6" t="s">
        <v>2041</v>
      </c>
      <c r="B945" s="7">
        <v>45497</v>
      </c>
      <c r="C945" s="6">
        <f>HYPERLINK("https://eping.wto.org/en/Search?viewData= G/TBT/N/BDI/295/Add.1, G/TBT/N/KEN/1330/Add.1, G/TBT/N/RWA/737/Add.1, G/TBT/N/TZA/855/Add.1, G/TBT/N/UGA/1704/Add.1"," G/TBT/N/BDI/295/Add.1, G/TBT/N/KEN/1330/Add.1, G/TBT/N/RWA/737/Add.1, G/TBT/N/TZA/855/Add.1, G/TBT/N/UGA/1704/Add.1")</f>
      </c>
      <c r="D945" s="8" t="s">
        <v>3335</v>
      </c>
      <c r="E945" s="8" t="s">
        <v>3336</v>
      </c>
      <c r="F945" s="8" t="s">
        <v>3332</v>
      </c>
      <c r="G945" s="6" t="s">
        <v>40</v>
      </c>
      <c r="H945" s="6" t="s">
        <v>932</v>
      </c>
      <c r="I945" s="6" t="s">
        <v>3334</v>
      </c>
      <c r="J945" s="6" t="s">
        <v>40</v>
      </c>
      <c r="K945" s="6"/>
      <c r="L945" s="7" t="s">
        <v>40</v>
      </c>
      <c r="M945" s="6" t="s">
        <v>76</v>
      </c>
      <c r="N945" s="6"/>
      <c r="O945" s="6">
        <f>HYPERLINK("https://docs.wto.org/imrd/directdoc.asp?DDFDocuments/t/G/TBTN22/BDI295A1.DOCX", "https://docs.wto.org/imrd/directdoc.asp?DDFDocuments/t/G/TBTN22/BDI295A1.DOCX")</f>
      </c>
      <c r="P945" s="6">
        <f>HYPERLINK("https://docs.wto.org/imrd/directdoc.asp?DDFDocuments/u/G/TBTN22/BDI295A1.DOCX", "https://docs.wto.org/imrd/directdoc.asp?DDFDocuments/u/G/TBTN22/BDI295A1.DOCX")</f>
      </c>
      <c r="Q945" s="6">
        <f>HYPERLINK("https://docs.wto.org/imrd/directdoc.asp?DDFDocuments/v/G/TBTN22/BDI295A1.DOCX", "https://docs.wto.org/imrd/directdoc.asp?DDFDocuments/v/G/TBTN22/BDI295A1.DOCX")</f>
      </c>
    </row>
    <row r="946">
      <c r="A946" s="6" t="s">
        <v>2024</v>
      </c>
      <c r="B946" s="7">
        <v>45497</v>
      </c>
      <c r="C946" s="6">
        <f>HYPERLINK("https://eping.wto.org/en/Search?viewData= G/TBT/N/BDI/357/Add.1, G/TBT/N/KEN/1437/Add.1, G/TBT/N/RWA/868/Add.1, G/TBT/N/TZA/971/Add.1, G/TBT/N/UGA/1773/Add.1"," G/TBT/N/BDI/357/Add.1, G/TBT/N/KEN/1437/Add.1, G/TBT/N/RWA/868/Add.1, G/TBT/N/TZA/971/Add.1, G/TBT/N/UGA/1773/Add.1")</f>
      </c>
      <c r="D946" s="8" t="s">
        <v>3373</v>
      </c>
      <c r="E946" s="8" t="s">
        <v>3374</v>
      </c>
      <c r="F946" s="8" t="s">
        <v>3375</v>
      </c>
      <c r="G946" s="6" t="s">
        <v>40</v>
      </c>
      <c r="H946" s="6" t="s">
        <v>841</v>
      </c>
      <c r="I946" s="6" t="s">
        <v>3334</v>
      </c>
      <c r="J946" s="6" t="s">
        <v>40</v>
      </c>
      <c r="K946" s="6"/>
      <c r="L946" s="7" t="s">
        <v>40</v>
      </c>
      <c r="M946" s="6" t="s">
        <v>76</v>
      </c>
      <c r="N946" s="6"/>
      <c r="O946" s="6">
        <f>HYPERLINK("https://docs.wto.org/imrd/directdoc.asp?DDFDocuments/t/G/TBTN23/BDI357A1.DOCX", "https://docs.wto.org/imrd/directdoc.asp?DDFDocuments/t/G/TBTN23/BDI357A1.DOCX")</f>
      </c>
      <c r="P946" s="6">
        <f>HYPERLINK("https://docs.wto.org/imrd/directdoc.asp?DDFDocuments/u/G/TBTN23/BDI357A1.DOCX", "https://docs.wto.org/imrd/directdoc.asp?DDFDocuments/u/G/TBTN23/BDI357A1.DOCX")</f>
      </c>
      <c r="Q946" s="6">
        <f>HYPERLINK("https://docs.wto.org/imrd/directdoc.asp?DDFDocuments/v/G/TBTN23/BDI357A1.DOCX", "https://docs.wto.org/imrd/directdoc.asp?DDFDocuments/v/G/TBTN23/BDI357A1.DOCX")</f>
      </c>
    </row>
    <row r="947">
      <c r="A947" s="6" t="s">
        <v>2024</v>
      </c>
      <c r="B947" s="7">
        <v>45497</v>
      </c>
      <c r="C947" s="6">
        <f>HYPERLINK("https://eping.wto.org/en/Search?viewData= G/TBT/N/BDI/358/Add.1, G/TBT/N/KEN/1438/Add.1, G/TBT/N/RWA/869/Add.1, G/TBT/N/TZA/972/Add.1, G/TBT/N/UGA/1774/Add.1"," G/TBT/N/BDI/358/Add.1, G/TBT/N/KEN/1438/Add.1, G/TBT/N/RWA/869/Add.1, G/TBT/N/TZA/972/Add.1, G/TBT/N/UGA/1774/Add.1")</f>
      </c>
      <c r="D947" s="8" t="s">
        <v>3376</v>
      </c>
      <c r="E947" s="8" t="s">
        <v>3377</v>
      </c>
      <c r="F947" s="8" t="s">
        <v>3375</v>
      </c>
      <c r="G947" s="6" t="s">
        <v>3378</v>
      </c>
      <c r="H947" s="6" t="s">
        <v>3379</v>
      </c>
      <c r="I947" s="6" t="s">
        <v>3334</v>
      </c>
      <c r="J947" s="6" t="s">
        <v>40</v>
      </c>
      <c r="K947" s="6"/>
      <c r="L947" s="7" t="s">
        <v>40</v>
      </c>
      <c r="M947" s="6" t="s">
        <v>76</v>
      </c>
      <c r="N947" s="6"/>
      <c r="O947" s="6">
        <f>HYPERLINK("https://docs.wto.org/imrd/directdoc.asp?DDFDocuments/t/G/TBTN23/BDI358A1.DOCX", "https://docs.wto.org/imrd/directdoc.asp?DDFDocuments/t/G/TBTN23/BDI358A1.DOCX")</f>
      </c>
      <c r="P947" s="6">
        <f>HYPERLINK("https://docs.wto.org/imrd/directdoc.asp?DDFDocuments/u/G/TBTN23/BDI358A1.DOCX", "https://docs.wto.org/imrd/directdoc.asp?DDFDocuments/u/G/TBTN23/BDI358A1.DOCX")</f>
      </c>
      <c r="Q947" s="6">
        <f>HYPERLINK("https://docs.wto.org/imrd/directdoc.asp?DDFDocuments/v/G/TBTN23/BDI358A1.DOCX", "https://docs.wto.org/imrd/directdoc.asp?DDFDocuments/v/G/TBTN23/BDI358A1.DOCX")</f>
      </c>
    </row>
    <row r="948">
      <c r="A948" s="6" t="s">
        <v>2041</v>
      </c>
      <c r="B948" s="7">
        <v>45497</v>
      </c>
      <c r="C948" s="6">
        <f>HYPERLINK("https://eping.wto.org/en/Search?viewData= G/TBT/N/BDI/328/Add.1, G/TBT/N/KEN/1390/Add.1, G/TBT/N/RWA/835/Add.1, G/TBT/N/TZA/914/Add.1, G/TBT/N/UGA/1743/Add.1"," G/TBT/N/BDI/328/Add.1, G/TBT/N/KEN/1390/Add.1, G/TBT/N/RWA/835/Add.1, G/TBT/N/TZA/914/Add.1, G/TBT/N/UGA/1743/Add.1")</f>
      </c>
      <c r="D948" s="8" t="s">
        <v>3371</v>
      </c>
      <c r="E948" s="8" t="s">
        <v>3372</v>
      </c>
      <c r="F948" s="8" t="s">
        <v>3339</v>
      </c>
      <c r="G948" s="6" t="s">
        <v>40</v>
      </c>
      <c r="H948" s="6" t="s">
        <v>363</v>
      </c>
      <c r="I948" s="6" t="s">
        <v>3334</v>
      </c>
      <c r="J948" s="6" t="s">
        <v>40</v>
      </c>
      <c r="K948" s="6"/>
      <c r="L948" s="7" t="s">
        <v>40</v>
      </c>
      <c r="M948" s="6" t="s">
        <v>76</v>
      </c>
      <c r="N948" s="6"/>
      <c r="O948" s="6">
        <f>HYPERLINK("https://docs.wto.org/imrd/directdoc.asp?DDFDocuments/t/G/TBTN23/BDI328A1.DOCX", "https://docs.wto.org/imrd/directdoc.asp?DDFDocuments/t/G/TBTN23/BDI328A1.DOCX")</f>
      </c>
      <c r="P948" s="6">
        <f>HYPERLINK("https://docs.wto.org/imrd/directdoc.asp?DDFDocuments/u/G/TBTN23/BDI328A1.DOCX", "https://docs.wto.org/imrd/directdoc.asp?DDFDocuments/u/G/TBTN23/BDI328A1.DOCX")</f>
      </c>
      <c r="Q948" s="6">
        <f>HYPERLINK("https://docs.wto.org/imrd/directdoc.asp?DDFDocuments/v/G/TBTN23/BDI328A1.DOCX", "https://docs.wto.org/imrd/directdoc.asp?DDFDocuments/v/G/TBTN23/BDI328A1.DOCX")</f>
      </c>
    </row>
    <row r="949">
      <c r="A949" s="6" t="s">
        <v>880</v>
      </c>
      <c r="B949" s="7">
        <v>45497</v>
      </c>
      <c r="C949" s="6">
        <f>HYPERLINK("https://eping.wto.org/en/Search?viewData= G/TBT/N/BDI/406/Add.1, G/TBT/N/KEN/1501/Add.1, G/TBT/N/RWA/930/Add.1, G/TBT/N/TZA/1034/Add.1, G/TBT/N/UGA/1841/Add.1"," G/TBT/N/BDI/406/Add.1, G/TBT/N/KEN/1501/Add.1, G/TBT/N/RWA/930/Add.1, G/TBT/N/TZA/1034/Add.1, G/TBT/N/UGA/1841/Add.1")</f>
      </c>
      <c r="D949" s="8" t="s">
        <v>3380</v>
      </c>
      <c r="E949" s="8" t="s">
        <v>3381</v>
      </c>
      <c r="F949" s="8" t="s">
        <v>3382</v>
      </c>
      <c r="G949" s="6" t="s">
        <v>3383</v>
      </c>
      <c r="H949" s="6" t="s">
        <v>3036</v>
      </c>
      <c r="I949" s="6" t="s">
        <v>3280</v>
      </c>
      <c r="J949" s="6" t="s">
        <v>122</v>
      </c>
      <c r="K949" s="6"/>
      <c r="L949" s="7" t="s">
        <v>40</v>
      </c>
      <c r="M949" s="6" t="s">
        <v>76</v>
      </c>
      <c r="N949" s="6"/>
      <c r="O949" s="6">
        <f>HYPERLINK("https://docs.wto.org/imrd/directdoc.asp?DDFDocuments/t/G/TBTN23/BDI406A1.DOCX", "https://docs.wto.org/imrd/directdoc.asp?DDFDocuments/t/G/TBTN23/BDI406A1.DOCX")</f>
      </c>
      <c r="P949" s="6">
        <f>HYPERLINK("https://docs.wto.org/imrd/directdoc.asp?DDFDocuments/u/G/TBTN23/BDI406A1.DOCX", "https://docs.wto.org/imrd/directdoc.asp?DDFDocuments/u/G/TBTN23/BDI406A1.DOCX")</f>
      </c>
      <c r="Q949" s="6">
        <f>HYPERLINK("https://docs.wto.org/imrd/directdoc.asp?DDFDocuments/v/G/TBTN23/BDI406A1.DOCX", "https://docs.wto.org/imrd/directdoc.asp?DDFDocuments/v/G/TBTN23/BDI406A1.DOCX")</f>
      </c>
    </row>
    <row r="950">
      <c r="A950" s="6" t="s">
        <v>880</v>
      </c>
      <c r="B950" s="7">
        <v>45497</v>
      </c>
      <c r="C950" s="6">
        <f>HYPERLINK("https://eping.wto.org/en/Search?viewData= G/TBT/N/BDI/313/Add.1, G/TBT/N/KEN/1362/Add.1, G/TBT/N/RWA/754/Add.1, G/TBT/N/TZA/877/Add.1, G/TBT/N/UGA/1724/Add.1"," G/TBT/N/BDI/313/Add.1, G/TBT/N/KEN/1362/Add.1, G/TBT/N/RWA/754/Add.1, G/TBT/N/TZA/877/Add.1, G/TBT/N/UGA/1724/Add.1")</f>
      </c>
      <c r="D950" s="8" t="s">
        <v>3330</v>
      </c>
      <c r="E950" s="8" t="s">
        <v>3331</v>
      </c>
      <c r="F950" s="8" t="s">
        <v>3332</v>
      </c>
      <c r="G950" s="6" t="s">
        <v>3333</v>
      </c>
      <c r="H950" s="6" t="s">
        <v>932</v>
      </c>
      <c r="I950" s="6" t="s">
        <v>3334</v>
      </c>
      <c r="J950" s="6" t="s">
        <v>40</v>
      </c>
      <c r="K950" s="6"/>
      <c r="L950" s="7" t="s">
        <v>40</v>
      </c>
      <c r="M950" s="6" t="s">
        <v>76</v>
      </c>
      <c r="N950" s="6"/>
      <c r="O950" s="6">
        <f>HYPERLINK("https://docs.wto.org/imrd/directdoc.asp?DDFDocuments/t/G/TBTN23/BDI313A1.DOCX", "https://docs.wto.org/imrd/directdoc.asp?DDFDocuments/t/G/TBTN23/BDI313A1.DOCX")</f>
      </c>
      <c r="P950" s="6">
        <f>HYPERLINK("https://docs.wto.org/imrd/directdoc.asp?DDFDocuments/u/G/TBTN23/BDI313A1.DOCX", "https://docs.wto.org/imrd/directdoc.asp?DDFDocuments/u/G/TBTN23/BDI313A1.DOCX")</f>
      </c>
      <c r="Q950" s="6">
        <f>HYPERLINK("https://docs.wto.org/imrd/directdoc.asp?DDFDocuments/v/G/TBTN23/BDI313A1.DOCX", "https://docs.wto.org/imrd/directdoc.asp?DDFDocuments/v/G/TBTN23/BDI313A1.DOCX")</f>
      </c>
    </row>
    <row r="951">
      <c r="A951" s="6" t="s">
        <v>880</v>
      </c>
      <c r="B951" s="7">
        <v>45497</v>
      </c>
      <c r="C951" s="6">
        <f>HYPERLINK("https://eping.wto.org/en/Search?viewData= G/TBT/N/BDI/299/Add.1, G/TBT/N/KEN/1334/Add.1, G/TBT/N/RWA/741/Add.1, G/TBT/N/TZA/859/Add.1, G/TBT/N/UGA/1708/Add.1"," G/TBT/N/BDI/299/Add.1, G/TBT/N/KEN/1334/Add.1, G/TBT/N/RWA/741/Add.1, G/TBT/N/TZA/859/Add.1, G/TBT/N/UGA/1708/Add.1")</f>
      </c>
      <c r="D951" s="8" t="s">
        <v>3408</v>
      </c>
      <c r="E951" s="8" t="s">
        <v>3409</v>
      </c>
      <c r="F951" s="8" t="s">
        <v>3332</v>
      </c>
      <c r="G951" s="6" t="s">
        <v>40</v>
      </c>
      <c r="H951" s="6" t="s">
        <v>932</v>
      </c>
      <c r="I951" s="6" t="s">
        <v>3334</v>
      </c>
      <c r="J951" s="6" t="s">
        <v>40</v>
      </c>
      <c r="K951" s="6"/>
      <c r="L951" s="7" t="s">
        <v>40</v>
      </c>
      <c r="M951" s="6" t="s">
        <v>76</v>
      </c>
      <c r="N951" s="6"/>
      <c r="O951" s="6">
        <f>HYPERLINK("https://docs.wto.org/imrd/directdoc.asp?DDFDocuments/t/G/TBTN22/BDI299A1.DOCX", "https://docs.wto.org/imrd/directdoc.asp?DDFDocuments/t/G/TBTN22/BDI299A1.DOCX")</f>
      </c>
      <c r="P951" s="6">
        <f>HYPERLINK("https://docs.wto.org/imrd/directdoc.asp?DDFDocuments/u/G/TBTN22/BDI299A1.DOCX", "https://docs.wto.org/imrd/directdoc.asp?DDFDocuments/u/G/TBTN22/BDI299A1.DOCX")</f>
      </c>
      <c r="Q951" s="6">
        <f>HYPERLINK("https://docs.wto.org/imrd/directdoc.asp?DDFDocuments/v/G/TBTN22/BDI299A1.DOCX", "https://docs.wto.org/imrd/directdoc.asp?DDFDocuments/v/G/TBTN22/BDI299A1.DOCX")</f>
      </c>
    </row>
    <row r="952">
      <c r="A952" s="6" t="s">
        <v>2030</v>
      </c>
      <c r="B952" s="7">
        <v>45497</v>
      </c>
      <c r="C952" s="6">
        <f>HYPERLINK("https://eping.wto.org/en/Search?viewData= G/TBT/N/BDI/434/Add.1, G/TBT/N/KEN/1539/Add.1, G/TBT/N/RWA/969/Add.1, G/TBT/N/TZA/1070/Add.1, G/TBT/N/UGA/1884/Add.1"," G/TBT/N/BDI/434/Add.1, G/TBT/N/KEN/1539/Add.1, G/TBT/N/RWA/969/Add.1, G/TBT/N/TZA/1070/Add.1, G/TBT/N/UGA/1884/Add.1")</f>
      </c>
      <c r="D952" s="8" t="s">
        <v>3337</v>
      </c>
      <c r="E952" s="8" t="s">
        <v>3338</v>
      </c>
      <c r="F952" s="8" t="s">
        <v>3339</v>
      </c>
      <c r="G952" s="6" t="s">
        <v>40</v>
      </c>
      <c r="H952" s="6" t="s">
        <v>363</v>
      </c>
      <c r="I952" s="6" t="s">
        <v>3334</v>
      </c>
      <c r="J952" s="6" t="s">
        <v>40</v>
      </c>
      <c r="K952" s="6"/>
      <c r="L952" s="7" t="s">
        <v>40</v>
      </c>
      <c r="M952" s="6" t="s">
        <v>76</v>
      </c>
      <c r="N952" s="6"/>
      <c r="O952" s="6">
        <f>HYPERLINK("https://docs.wto.org/imrd/directdoc.asp?DDFDocuments/t/G/TBTN23/BDI434A1.DOCX", "https://docs.wto.org/imrd/directdoc.asp?DDFDocuments/t/G/TBTN23/BDI434A1.DOCX")</f>
      </c>
      <c r="P952" s="6">
        <f>HYPERLINK("https://docs.wto.org/imrd/directdoc.asp?DDFDocuments/u/G/TBTN23/BDI434A1.DOCX", "https://docs.wto.org/imrd/directdoc.asp?DDFDocuments/u/G/TBTN23/BDI434A1.DOCX")</f>
      </c>
      <c r="Q952" s="6">
        <f>HYPERLINK("https://docs.wto.org/imrd/directdoc.asp?DDFDocuments/v/G/TBTN23/BDI434A1.DOCX", "https://docs.wto.org/imrd/directdoc.asp?DDFDocuments/v/G/TBTN23/BDI434A1.DOCX")</f>
      </c>
    </row>
    <row r="953">
      <c r="A953" s="6" t="s">
        <v>2024</v>
      </c>
      <c r="B953" s="7">
        <v>45497</v>
      </c>
      <c r="C953" s="6">
        <f>HYPERLINK("https://eping.wto.org/en/Search?viewData= G/TBT/N/BDI/405/Add.1, G/TBT/N/KEN/1500/Add.1, G/TBT/N/RWA/929/Add.1, G/TBT/N/TZA/1033/Add.1, G/TBT/N/UGA/1840/Add.1"," G/TBT/N/BDI/405/Add.1, G/TBT/N/KEN/1500/Add.1, G/TBT/N/RWA/929/Add.1, G/TBT/N/TZA/1033/Add.1, G/TBT/N/UGA/1840/Add.1")</f>
      </c>
      <c r="D953" s="8" t="s">
        <v>3410</v>
      </c>
      <c r="E953" s="8" t="s">
        <v>3411</v>
      </c>
      <c r="F953" s="8" t="s">
        <v>3412</v>
      </c>
      <c r="G953" s="6" t="s">
        <v>3413</v>
      </c>
      <c r="H953" s="6" t="s">
        <v>3036</v>
      </c>
      <c r="I953" s="6" t="s">
        <v>3280</v>
      </c>
      <c r="J953" s="6" t="s">
        <v>122</v>
      </c>
      <c r="K953" s="6"/>
      <c r="L953" s="7" t="s">
        <v>40</v>
      </c>
      <c r="M953" s="6" t="s">
        <v>76</v>
      </c>
      <c r="N953" s="6"/>
      <c r="O953" s="6">
        <f>HYPERLINK("https://docs.wto.org/imrd/directdoc.asp?DDFDocuments/t/G/TBTN23/BDI405A1.DOCX", "https://docs.wto.org/imrd/directdoc.asp?DDFDocuments/t/G/TBTN23/BDI405A1.DOCX")</f>
      </c>
      <c r="P953" s="6">
        <f>HYPERLINK("https://docs.wto.org/imrd/directdoc.asp?DDFDocuments/u/G/TBTN23/BDI405A1.DOCX", "https://docs.wto.org/imrd/directdoc.asp?DDFDocuments/u/G/TBTN23/BDI405A1.DOCX")</f>
      </c>
      <c r="Q953" s="6">
        <f>HYPERLINK("https://docs.wto.org/imrd/directdoc.asp?DDFDocuments/v/G/TBTN23/BDI405A1.DOCX", "https://docs.wto.org/imrd/directdoc.asp?DDFDocuments/v/G/TBTN23/BDI405A1.DOCX")</f>
      </c>
    </row>
    <row r="954">
      <c r="A954" s="6" t="s">
        <v>2041</v>
      </c>
      <c r="B954" s="7">
        <v>45497</v>
      </c>
      <c r="C954" s="6">
        <f>HYPERLINK("https://eping.wto.org/en/Search?viewData= G/TBT/N/BDI/405/Add.1, G/TBT/N/KEN/1500/Add.1, G/TBT/N/RWA/929/Add.1, G/TBT/N/TZA/1033/Add.1, G/TBT/N/UGA/1840/Add.1"," G/TBT/N/BDI/405/Add.1, G/TBT/N/KEN/1500/Add.1, G/TBT/N/RWA/929/Add.1, G/TBT/N/TZA/1033/Add.1, G/TBT/N/UGA/1840/Add.1")</f>
      </c>
      <c r="D954" s="8" t="s">
        <v>3410</v>
      </c>
      <c r="E954" s="8" t="s">
        <v>3411</v>
      </c>
      <c r="F954" s="8" t="s">
        <v>3412</v>
      </c>
      <c r="G954" s="6" t="s">
        <v>3413</v>
      </c>
      <c r="H954" s="6" t="s">
        <v>3036</v>
      </c>
      <c r="I954" s="6" t="s">
        <v>3280</v>
      </c>
      <c r="J954" s="6" t="s">
        <v>122</v>
      </c>
      <c r="K954" s="6"/>
      <c r="L954" s="7" t="s">
        <v>40</v>
      </c>
      <c r="M954" s="6" t="s">
        <v>76</v>
      </c>
      <c r="N954" s="6"/>
      <c r="O954" s="6">
        <f>HYPERLINK("https://docs.wto.org/imrd/directdoc.asp?DDFDocuments/t/G/TBTN23/BDI405A1.DOCX", "https://docs.wto.org/imrd/directdoc.asp?DDFDocuments/t/G/TBTN23/BDI405A1.DOCX")</f>
      </c>
      <c r="P954" s="6">
        <f>HYPERLINK("https://docs.wto.org/imrd/directdoc.asp?DDFDocuments/u/G/TBTN23/BDI405A1.DOCX", "https://docs.wto.org/imrd/directdoc.asp?DDFDocuments/u/G/TBTN23/BDI405A1.DOCX")</f>
      </c>
      <c r="Q954" s="6">
        <f>HYPERLINK("https://docs.wto.org/imrd/directdoc.asp?DDFDocuments/v/G/TBTN23/BDI405A1.DOCX", "https://docs.wto.org/imrd/directdoc.asp?DDFDocuments/v/G/TBTN23/BDI405A1.DOCX")</f>
      </c>
    </row>
    <row r="955">
      <c r="A955" s="6" t="s">
        <v>307</v>
      </c>
      <c r="B955" s="7">
        <v>45497</v>
      </c>
      <c r="C955" s="6">
        <f>HYPERLINK("https://eping.wto.org/en/Search?viewData= G/SPS/N/CAN/1447/Add.1"," G/SPS/N/CAN/1447/Add.1")</f>
      </c>
      <c r="D955" s="8" t="s">
        <v>3419</v>
      </c>
      <c r="E955" s="8" t="s">
        <v>3420</v>
      </c>
      <c r="F955" s="8" t="s">
        <v>3421</v>
      </c>
      <c r="G955" s="6" t="s">
        <v>40</v>
      </c>
      <c r="H955" s="6" t="s">
        <v>40</v>
      </c>
      <c r="I955" s="6" t="s">
        <v>38</v>
      </c>
      <c r="J955" s="6" t="s">
        <v>1460</v>
      </c>
      <c r="K955" s="6"/>
      <c r="L955" s="7" t="s">
        <v>40</v>
      </c>
      <c r="M955" s="6" t="s">
        <v>76</v>
      </c>
      <c r="N955" s="6"/>
      <c r="O955" s="6">
        <f>HYPERLINK("https://docs.wto.org/imrd/directdoc.asp?DDFDocuments/t/G/SPS/NCAN1447A1.DOCX", "https://docs.wto.org/imrd/directdoc.asp?DDFDocuments/t/G/SPS/NCAN1447A1.DOCX")</f>
      </c>
      <c r="P955" s="6">
        <f>HYPERLINK("https://docs.wto.org/imrd/directdoc.asp?DDFDocuments/u/G/SPS/NCAN1447A1.DOCX", "https://docs.wto.org/imrd/directdoc.asp?DDFDocuments/u/G/SPS/NCAN1447A1.DOCX")</f>
      </c>
      <c r="Q955" s="6">
        <f>HYPERLINK("https://docs.wto.org/imrd/directdoc.asp?DDFDocuments/v/G/SPS/NCAN1447A1.DOCX", "https://docs.wto.org/imrd/directdoc.asp?DDFDocuments/v/G/SPS/NCAN1447A1.DOCX")</f>
      </c>
    </row>
    <row r="956">
      <c r="A956" s="6" t="s">
        <v>136</v>
      </c>
      <c r="B956" s="7">
        <v>45497</v>
      </c>
      <c r="C956" s="6">
        <f>HYPERLINK("https://eping.wto.org/en/Search?viewData= G/SPS/N/PER/1052"," G/SPS/N/PER/1052")</f>
      </c>
      <c r="D956" s="8" t="s">
        <v>3422</v>
      </c>
      <c r="E956" s="8" t="s">
        <v>3423</v>
      </c>
      <c r="F956" s="8" t="s">
        <v>3424</v>
      </c>
      <c r="G956" s="6" t="s">
        <v>3425</v>
      </c>
      <c r="H956" s="6" t="s">
        <v>40</v>
      </c>
      <c r="I956" s="6" t="s">
        <v>369</v>
      </c>
      <c r="J956" s="6" t="s">
        <v>773</v>
      </c>
      <c r="K956" s="6" t="s">
        <v>774</v>
      </c>
      <c r="L956" s="7">
        <v>45587</v>
      </c>
      <c r="M956" s="6" t="s">
        <v>25</v>
      </c>
      <c r="N956" s="8" t="s">
        <v>3426</v>
      </c>
      <c r="O956" s="6">
        <f>HYPERLINK("https://docs.wto.org/imrd/directdoc.asp?DDFDocuments/t/G/SPS/NPER1052.DOCX", "https://docs.wto.org/imrd/directdoc.asp?DDFDocuments/t/G/SPS/NPER1052.DOCX")</f>
      </c>
      <c r="P956" s="6">
        <f>HYPERLINK("https://docs.wto.org/imrd/directdoc.asp?DDFDocuments/u/G/SPS/NPER1052.DOCX", "https://docs.wto.org/imrd/directdoc.asp?DDFDocuments/u/G/SPS/NPER1052.DOCX")</f>
      </c>
      <c r="Q956" s="6">
        <f>HYPERLINK("https://docs.wto.org/imrd/directdoc.asp?DDFDocuments/v/G/SPS/NPER1052.DOCX", "https://docs.wto.org/imrd/directdoc.asp?DDFDocuments/v/G/SPS/NPER1052.DOCX")</f>
      </c>
    </row>
    <row r="957">
      <c r="A957" s="6" t="s">
        <v>2041</v>
      </c>
      <c r="B957" s="7">
        <v>45497</v>
      </c>
      <c r="C957" s="6">
        <f>HYPERLINK("https://eping.wto.org/en/Search?viewData= G/TBT/N/BDI/357/Add.1, G/TBT/N/KEN/1437/Add.1, G/TBT/N/RWA/868/Add.1, G/TBT/N/TZA/971/Add.1, G/TBT/N/UGA/1773/Add.1"," G/TBT/N/BDI/357/Add.1, G/TBT/N/KEN/1437/Add.1, G/TBT/N/RWA/868/Add.1, G/TBT/N/TZA/971/Add.1, G/TBT/N/UGA/1773/Add.1")</f>
      </c>
      <c r="D957" s="8" t="s">
        <v>3373</v>
      </c>
      <c r="E957" s="8" t="s">
        <v>3374</v>
      </c>
      <c r="F957" s="8" t="s">
        <v>3375</v>
      </c>
      <c r="G957" s="6" t="s">
        <v>40</v>
      </c>
      <c r="H957" s="6" t="s">
        <v>841</v>
      </c>
      <c r="I957" s="6" t="s">
        <v>3334</v>
      </c>
      <c r="J957" s="6" t="s">
        <v>40</v>
      </c>
      <c r="K957" s="6"/>
      <c r="L957" s="7" t="s">
        <v>40</v>
      </c>
      <c r="M957" s="6" t="s">
        <v>76</v>
      </c>
      <c r="N957" s="6"/>
      <c r="O957" s="6">
        <f>HYPERLINK("https://docs.wto.org/imrd/directdoc.asp?DDFDocuments/t/G/TBTN23/BDI357A1.DOCX", "https://docs.wto.org/imrd/directdoc.asp?DDFDocuments/t/G/TBTN23/BDI357A1.DOCX")</f>
      </c>
      <c r="P957" s="6">
        <f>HYPERLINK("https://docs.wto.org/imrd/directdoc.asp?DDFDocuments/u/G/TBTN23/BDI357A1.DOCX", "https://docs.wto.org/imrd/directdoc.asp?DDFDocuments/u/G/TBTN23/BDI357A1.DOCX")</f>
      </c>
      <c r="Q957" s="6">
        <f>HYPERLINK("https://docs.wto.org/imrd/directdoc.asp?DDFDocuments/v/G/TBTN23/BDI357A1.DOCX", "https://docs.wto.org/imrd/directdoc.asp?DDFDocuments/v/G/TBTN23/BDI357A1.DOCX")</f>
      </c>
    </row>
    <row r="958">
      <c r="A958" s="6" t="s">
        <v>2041</v>
      </c>
      <c r="B958" s="7">
        <v>45497</v>
      </c>
      <c r="C958" s="6">
        <f>HYPERLINK("https://eping.wto.org/en/Search?viewData= G/TBT/N/BDI/358/Add.1, G/TBT/N/KEN/1438/Add.1, G/TBT/N/RWA/869/Add.1, G/TBT/N/TZA/972/Add.1, G/TBT/N/UGA/1774/Add.1"," G/TBT/N/BDI/358/Add.1, G/TBT/N/KEN/1438/Add.1, G/TBT/N/RWA/869/Add.1, G/TBT/N/TZA/972/Add.1, G/TBT/N/UGA/1774/Add.1")</f>
      </c>
      <c r="D958" s="8" t="s">
        <v>3376</v>
      </c>
      <c r="E958" s="8" t="s">
        <v>3377</v>
      </c>
      <c r="F958" s="8" t="s">
        <v>3375</v>
      </c>
      <c r="G958" s="6" t="s">
        <v>3378</v>
      </c>
      <c r="H958" s="6" t="s">
        <v>3379</v>
      </c>
      <c r="I958" s="6" t="s">
        <v>3334</v>
      </c>
      <c r="J958" s="6" t="s">
        <v>40</v>
      </c>
      <c r="K958" s="6"/>
      <c r="L958" s="7" t="s">
        <v>40</v>
      </c>
      <c r="M958" s="6" t="s">
        <v>76</v>
      </c>
      <c r="N958" s="6"/>
      <c r="O958" s="6">
        <f>HYPERLINK("https://docs.wto.org/imrd/directdoc.asp?DDFDocuments/t/G/TBTN23/BDI358A1.DOCX", "https://docs.wto.org/imrd/directdoc.asp?DDFDocuments/t/G/TBTN23/BDI358A1.DOCX")</f>
      </c>
      <c r="P958" s="6">
        <f>HYPERLINK("https://docs.wto.org/imrd/directdoc.asp?DDFDocuments/u/G/TBTN23/BDI358A1.DOCX", "https://docs.wto.org/imrd/directdoc.asp?DDFDocuments/u/G/TBTN23/BDI358A1.DOCX")</f>
      </c>
      <c r="Q958" s="6">
        <f>HYPERLINK("https://docs.wto.org/imrd/directdoc.asp?DDFDocuments/v/G/TBTN23/BDI358A1.DOCX", "https://docs.wto.org/imrd/directdoc.asp?DDFDocuments/v/G/TBTN23/BDI358A1.DOCX")</f>
      </c>
    </row>
    <row r="959">
      <c r="A959" s="6" t="s">
        <v>880</v>
      </c>
      <c r="B959" s="7">
        <v>45497</v>
      </c>
      <c r="C959" s="6">
        <f>HYPERLINK("https://eping.wto.org/en/Search?viewData= G/TBT/N/BDI/328/Add.1, G/TBT/N/KEN/1390/Add.1, G/TBT/N/RWA/835/Add.1, G/TBT/N/TZA/914/Add.1, G/TBT/N/UGA/1743/Add.1"," G/TBT/N/BDI/328/Add.1, G/TBT/N/KEN/1390/Add.1, G/TBT/N/RWA/835/Add.1, G/TBT/N/TZA/914/Add.1, G/TBT/N/UGA/1743/Add.1")</f>
      </c>
      <c r="D959" s="8" t="s">
        <v>3371</v>
      </c>
      <c r="E959" s="8" t="s">
        <v>3372</v>
      </c>
      <c r="F959" s="8" t="s">
        <v>3339</v>
      </c>
      <c r="G959" s="6" t="s">
        <v>40</v>
      </c>
      <c r="H959" s="6" t="s">
        <v>363</v>
      </c>
      <c r="I959" s="6" t="s">
        <v>3334</v>
      </c>
      <c r="J959" s="6" t="s">
        <v>40</v>
      </c>
      <c r="K959" s="6"/>
      <c r="L959" s="7" t="s">
        <v>40</v>
      </c>
      <c r="M959" s="6" t="s">
        <v>76</v>
      </c>
      <c r="N959" s="6"/>
      <c r="O959" s="6">
        <f>HYPERLINK("https://docs.wto.org/imrd/directdoc.asp?DDFDocuments/t/G/TBTN23/BDI328A1.DOCX", "https://docs.wto.org/imrd/directdoc.asp?DDFDocuments/t/G/TBTN23/BDI328A1.DOCX")</f>
      </c>
      <c r="P959" s="6">
        <f>HYPERLINK("https://docs.wto.org/imrd/directdoc.asp?DDFDocuments/u/G/TBTN23/BDI328A1.DOCX", "https://docs.wto.org/imrd/directdoc.asp?DDFDocuments/u/G/TBTN23/BDI328A1.DOCX")</f>
      </c>
      <c r="Q959" s="6">
        <f>HYPERLINK("https://docs.wto.org/imrd/directdoc.asp?DDFDocuments/v/G/TBTN23/BDI328A1.DOCX", "https://docs.wto.org/imrd/directdoc.asp?DDFDocuments/v/G/TBTN23/BDI328A1.DOCX")</f>
      </c>
    </row>
    <row r="960">
      <c r="A960" s="6" t="s">
        <v>880</v>
      </c>
      <c r="B960" s="7">
        <v>45497</v>
      </c>
      <c r="C960" s="6">
        <f>HYPERLINK("https://eping.wto.org/en/Search?viewData= G/TBT/N/BDI/405/Add.1, G/TBT/N/KEN/1500/Add.1, G/TBT/N/RWA/929/Add.1, G/TBT/N/TZA/1033/Add.1, G/TBT/N/UGA/1840/Add.1"," G/TBT/N/BDI/405/Add.1, G/TBT/N/KEN/1500/Add.1, G/TBT/N/RWA/929/Add.1, G/TBT/N/TZA/1033/Add.1, G/TBT/N/UGA/1840/Add.1")</f>
      </c>
      <c r="D960" s="8" t="s">
        <v>3410</v>
      </c>
      <c r="E960" s="8" t="s">
        <v>3411</v>
      </c>
      <c r="F960" s="8" t="s">
        <v>3412</v>
      </c>
      <c r="G960" s="6" t="s">
        <v>3413</v>
      </c>
      <c r="H960" s="6" t="s">
        <v>3036</v>
      </c>
      <c r="I960" s="6" t="s">
        <v>3280</v>
      </c>
      <c r="J960" s="6" t="s">
        <v>122</v>
      </c>
      <c r="K960" s="6"/>
      <c r="L960" s="7" t="s">
        <v>40</v>
      </c>
      <c r="M960" s="6" t="s">
        <v>76</v>
      </c>
      <c r="N960" s="6"/>
      <c r="O960" s="6">
        <f>HYPERLINK("https://docs.wto.org/imrd/directdoc.asp?DDFDocuments/t/G/TBTN23/BDI405A1.DOCX", "https://docs.wto.org/imrd/directdoc.asp?DDFDocuments/t/G/TBTN23/BDI405A1.DOCX")</f>
      </c>
      <c r="P960" s="6">
        <f>HYPERLINK("https://docs.wto.org/imrd/directdoc.asp?DDFDocuments/u/G/TBTN23/BDI405A1.DOCX", "https://docs.wto.org/imrd/directdoc.asp?DDFDocuments/u/G/TBTN23/BDI405A1.DOCX")</f>
      </c>
      <c r="Q960" s="6">
        <f>HYPERLINK("https://docs.wto.org/imrd/directdoc.asp?DDFDocuments/v/G/TBTN23/BDI405A1.DOCX", "https://docs.wto.org/imrd/directdoc.asp?DDFDocuments/v/G/TBTN23/BDI405A1.DOCX")</f>
      </c>
    </row>
    <row r="961">
      <c r="A961" s="6" t="s">
        <v>2030</v>
      </c>
      <c r="B961" s="7">
        <v>45497</v>
      </c>
      <c r="C961" s="6">
        <f>HYPERLINK("https://eping.wto.org/en/Search?viewData= G/TBT/N/BDI/406/Add.1, G/TBT/N/KEN/1501/Add.1, G/TBT/N/RWA/930/Add.1, G/TBT/N/TZA/1034/Add.1, G/TBT/N/UGA/1841/Add.1"," G/TBT/N/BDI/406/Add.1, G/TBT/N/KEN/1501/Add.1, G/TBT/N/RWA/930/Add.1, G/TBT/N/TZA/1034/Add.1, G/TBT/N/UGA/1841/Add.1")</f>
      </c>
      <c r="D961" s="8" t="s">
        <v>3380</v>
      </c>
      <c r="E961" s="8" t="s">
        <v>3381</v>
      </c>
      <c r="F961" s="8" t="s">
        <v>3382</v>
      </c>
      <c r="G961" s="6" t="s">
        <v>3383</v>
      </c>
      <c r="H961" s="6" t="s">
        <v>3036</v>
      </c>
      <c r="I961" s="6" t="s">
        <v>3280</v>
      </c>
      <c r="J961" s="6" t="s">
        <v>122</v>
      </c>
      <c r="K961" s="6"/>
      <c r="L961" s="7" t="s">
        <v>40</v>
      </c>
      <c r="M961" s="6" t="s">
        <v>76</v>
      </c>
      <c r="N961" s="6"/>
      <c r="O961" s="6">
        <f>HYPERLINK("https://docs.wto.org/imrd/directdoc.asp?DDFDocuments/t/G/TBTN23/BDI406A1.DOCX", "https://docs.wto.org/imrd/directdoc.asp?DDFDocuments/t/G/TBTN23/BDI406A1.DOCX")</f>
      </c>
      <c r="P961" s="6">
        <f>HYPERLINK("https://docs.wto.org/imrd/directdoc.asp?DDFDocuments/u/G/TBTN23/BDI406A1.DOCX", "https://docs.wto.org/imrd/directdoc.asp?DDFDocuments/u/G/TBTN23/BDI406A1.DOCX")</f>
      </c>
      <c r="Q961" s="6">
        <f>HYPERLINK("https://docs.wto.org/imrd/directdoc.asp?DDFDocuments/v/G/TBTN23/BDI406A1.DOCX", "https://docs.wto.org/imrd/directdoc.asp?DDFDocuments/v/G/TBTN23/BDI406A1.DOCX")</f>
      </c>
    </row>
    <row r="962">
      <c r="A962" s="6" t="s">
        <v>373</v>
      </c>
      <c r="B962" s="7">
        <v>45497</v>
      </c>
      <c r="C962" s="6">
        <f>HYPERLINK("https://eping.wto.org/en/Search?viewData= G/TBT/N/ISR/1352"," G/TBT/N/ISR/1352")</f>
      </c>
      <c r="D962" s="8" t="s">
        <v>3427</v>
      </c>
      <c r="E962" s="8" t="s">
        <v>3428</v>
      </c>
      <c r="F962" s="8" t="s">
        <v>3429</v>
      </c>
      <c r="G962" s="6" t="s">
        <v>3430</v>
      </c>
      <c r="H962" s="6" t="s">
        <v>3388</v>
      </c>
      <c r="I962" s="6" t="s">
        <v>1166</v>
      </c>
      <c r="J962" s="6" t="s">
        <v>40</v>
      </c>
      <c r="K962" s="6"/>
      <c r="L962" s="7">
        <v>45557</v>
      </c>
      <c r="M962" s="6" t="s">
        <v>25</v>
      </c>
      <c r="N962" s="8" t="s">
        <v>3431</v>
      </c>
      <c r="O962" s="6">
        <f>HYPERLINK("https://docs.wto.org/imrd/directdoc.asp?DDFDocuments/t/G/TBTN24/ISR1352.DOCX", "https://docs.wto.org/imrd/directdoc.asp?DDFDocuments/t/G/TBTN24/ISR1352.DOCX")</f>
      </c>
      <c r="P962" s="6">
        <f>HYPERLINK("https://docs.wto.org/imrd/directdoc.asp?DDFDocuments/u/G/TBTN24/ISR1352.DOCX", "https://docs.wto.org/imrd/directdoc.asp?DDFDocuments/u/G/TBTN24/ISR1352.DOCX")</f>
      </c>
      <c r="Q962" s="6">
        <f>HYPERLINK("https://docs.wto.org/imrd/directdoc.asp?DDFDocuments/v/G/TBTN24/ISR1352.DOCX", "https://docs.wto.org/imrd/directdoc.asp?DDFDocuments/v/G/TBTN24/ISR1352.DOCX")</f>
      </c>
    </row>
    <row r="963">
      <c r="A963" s="6" t="s">
        <v>17</v>
      </c>
      <c r="B963" s="7">
        <v>45497</v>
      </c>
      <c r="C963" s="6">
        <f>HYPERLINK("https://eping.wto.org/en/Search?viewData= G/TBT/N/BDI/313/Add.1, G/TBT/N/KEN/1362/Add.1, G/TBT/N/RWA/754/Add.1, G/TBT/N/TZA/877/Add.1, G/TBT/N/UGA/1724/Add.1"," G/TBT/N/BDI/313/Add.1, G/TBT/N/KEN/1362/Add.1, G/TBT/N/RWA/754/Add.1, G/TBT/N/TZA/877/Add.1, G/TBT/N/UGA/1724/Add.1")</f>
      </c>
      <c r="D963" s="8" t="s">
        <v>3330</v>
      </c>
      <c r="E963" s="8" t="s">
        <v>3331</v>
      </c>
      <c r="F963" s="8" t="s">
        <v>3332</v>
      </c>
      <c r="G963" s="6" t="s">
        <v>3333</v>
      </c>
      <c r="H963" s="6" t="s">
        <v>932</v>
      </c>
      <c r="I963" s="6" t="s">
        <v>3407</v>
      </c>
      <c r="J963" s="6" t="s">
        <v>40</v>
      </c>
      <c r="K963" s="6"/>
      <c r="L963" s="7" t="s">
        <v>40</v>
      </c>
      <c r="M963" s="6" t="s">
        <v>76</v>
      </c>
      <c r="N963" s="6"/>
      <c r="O963" s="6">
        <f>HYPERLINK("https://docs.wto.org/imrd/directdoc.asp?DDFDocuments/t/G/TBTN23/BDI313A1.DOCX", "https://docs.wto.org/imrd/directdoc.asp?DDFDocuments/t/G/TBTN23/BDI313A1.DOCX")</f>
      </c>
      <c r="P963" s="6">
        <f>HYPERLINK("https://docs.wto.org/imrd/directdoc.asp?DDFDocuments/u/G/TBTN23/BDI313A1.DOCX", "https://docs.wto.org/imrd/directdoc.asp?DDFDocuments/u/G/TBTN23/BDI313A1.DOCX")</f>
      </c>
      <c r="Q963" s="6">
        <f>HYPERLINK("https://docs.wto.org/imrd/directdoc.asp?DDFDocuments/v/G/TBTN23/BDI313A1.DOCX", "https://docs.wto.org/imrd/directdoc.asp?DDFDocuments/v/G/TBTN23/BDI313A1.DOCX")</f>
      </c>
    </row>
    <row r="964">
      <c r="A964" s="6" t="s">
        <v>17</v>
      </c>
      <c r="B964" s="7">
        <v>45497</v>
      </c>
      <c r="C964" s="6">
        <f>HYPERLINK("https://eping.wto.org/en/Search?viewData= G/TBT/N/BDI/295/Add.1, G/TBT/N/KEN/1330/Add.1, G/TBT/N/RWA/737/Add.1, G/TBT/N/TZA/855/Add.1, G/TBT/N/UGA/1704/Add.1"," G/TBT/N/BDI/295/Add.1, G/TBT/N/KEN/1330/Add.1, G/TBT/N/RWA/737/Add.1, G/TBT/N/TZA/855/Add.1, G/TBT/N/UGA/1704/Add.1")</f>
      </c>
      <c r="D964" s="8" t="s">
        <v>3335</v>
      </c>
      <c r="E964" s="8" t="s">
        <v>3336</v>
      </c>
      <c r="F964" s="8" t="s">
        <v>3332</v>
      </c>
      <c r="G964" s="6" t="s">
        <v>40</v>
      </c>
      <c r="H964" s="6" t="s">
        <v>932</v>
      </c>
      <c r="I964" s="6" t="s">
        <v>3407</v>
      </c>
      <c r="J964" s="6" t="s">
        <v>40</v>
      </c>
      <c r="K964" s="6"/>
      <c r="L964" s="7" t="s">
        <v>40</v>
      </c>
      <c r="M964" s="6" t="s">
        <v>76</v>
      </c>
      <c r="N964" s="6"/>
      <c r="O964" s="6">
        <f>HYPERLINK("https://docs.wto.org/imrd/directdoc.asp?DDFDocuments/t/G/TBTN22/BDI295A1.DOCX", "https://docs.wto.org/imrd/directdoc.asp?DDFDocuments/t/G/TBTN22/BDI295A1.DOCX")</f>
      </c>
      <c r="P964" s="6">
        <f>HYPERLINK("https://docs.wto.org/imrd/directdoc.asp?DDFDocuments/u/G/TBTN22/BDI295A1.DOCX", "https://docs.wto.org/imrd/directdoc.asp?DDFDocuments/u/G/TBTN22/BDI295A1.DOCX")</f>
      </c>
      <c r="Q964" s="6">
        <f>HYPERLINK("https://docs.wto.org/imrd/directdoc.asp?DDFDocuments/v/G/TBTN22/BDI295A1.DOCX", "https://docs.wto.org/imrd/directdoc.asp?DDFDocuments/v/G/TBTN22/BDI295A1.DOCX")</f>
      </c>
    </row>
    <row r="965">
      <c r="A965" s="6" t="s">
        <v>373</v>
      </c>
      <c r="B965" s="7">
        <v>45497</v>
      </c>
      <c r="C965" s="6">
        <f>HYPERLINK("https://eping.wto.org/en/Search?viewData= G/TBT/N/ISR/1354"," G/TBT/N/ISR/1354")</f>
      </c>
      <c r="D965" s="8" t="s">
        <v>3432</v>
      </c>
      <c r="E965" s="8" t="s">
        <v>3433</v>
      </c>
      <c r="F965" s="8" t="s">
        <v>3434</v>
      </c>
      <c r="G965" s="6" t="s">
        <v>3435</v>
      </c>
      <c r="H965" s="6" t="s">
        <v>3436</v>
      </c>
      <c r="I965" s="6" t="s">
        <v>1166</v>
      </c>
      <c r="J965" s="6" t="s">
        <v>40</v>
      </c>
      <c r="K965" s="6"/>
      <c r="L965" s="7">
        <v>45557</v>
      </c>
      <c r="M965" s="6" t="s">
        <v>25</v>
      </c>
      <c r="N965" s="8" t="s">
        <v>3437</v>
      </c>
      <c r="O965" s="6">
        <f>HYPERLINK("https://docs.wto.org/imrd/directdoc.asp?DDFDocuments/t/G/TBTN24/ISR1354.DOCX", "https://docs.wto.org/imrd/directdoc.asp?DDFDocuments/t/G/TBTN24/ISR1354.DOCX")</f>
      </c>
      <c r="P965" s="6">
        <f>HYPERLINK("https://docs.wto.org/imrd/directdoc.asp?DDFDocuments/u/G/TBTN24/ISR1354.DOCX", "https://docs.wto.org/imrd/directdoc.asp?DDFDocuments/u/G/TBTN24/ISR1354.DOCX")</f>
      </c>
      <c r="Q965" s="6">
        <f>HYPERLINK("https://docs.wto.org/imrd/directdoc.asp?DDFDocuments/v/G/TBTN24/ISR1354.DOCX", "https://docs.wto.org/imrd/directdoc.asp?DDFDocuments/v/G/TBTN24/ISR1354.DOCX")</f>
      </c>
    </row>
    <row r="966">
      <c r="A966" s="6" t="s">
        <v>136</v>
      </c>
      <c r="B966" s="7">
        <v>45497</v>
      </c>
      <c r="C966" s="6">
        <f>HYPERLINK("https://eping.wto.org/en/Search?viewData= G/SPS/N/PER/1054"," G/SPS/N/PER/1054")</f>
      </c>
      <c r="D966" s="8" t="s">
        <v>3438</v>
      </c>
      <c r="E966" s="8" t="s">
        <v>3439</v>
      </c>
      <c r="F966" s="8" t="s">
        <v>3440</v>
      </c>
      <c r="G966" s="6" t="s">
        <v>3441</v>
      </c>
      <c r="H966" s="6" t="s">
        <v>40</v>
      </c>
      <c r="I966" s="6" t="s">
        <v>353</v>
      </c>
      <c r="J966" s="6" t="s">
        <v>3442</v>
      </c>
      <c r="K966" s="6" t="s">
        <v>62</v>
      </c>
      <c r="L966" s="7" t="s">
        <v>40</v>
      </c>
      <c r="M966" s="6" t="s">
        <v>25</v>
      </c>
      <c r="N966" s="8" t="s">
        <v>3443</v>
      </c>
      <c r="O966" s="6">
        <f>HYPERLINK("https://docs.wto.org/imrd/directdoc.asp?DDFDocuments/t/G/SPS/NPER1054.DOCX", "https://docs.wto.org/imrd/directdoc.asp?DDFDocuments/t/G/SPS/NPER1054.DOCX")</f>
      </c>
      <c r="P966" s="6">
        <f>HYPERLINK("https://docs.wto.org/imrd/directdoc.asp?DDFDocuments/u/G/SPS/NPER1054.DOCX", "https://docs.wto.org/imrd/directdoc.asp?DDFDocuments/u/G/SPS/NPER1054.DOCX")</f>
      </c>
      <c r="Q966" s="6">
        <f>HYPERLINK("https://docs.wto.org/imrd/directdoc.asp?DDFDocuments/v/G/SPS/NPER1054.DOCX", "https://docs.wto.org/imrd/directdoc.asp?DDFDocuments/v/G/SPS/NPER1054.DOCX")</f>
      </c>
    </row>
    <row r="967">
      <c r="A967" s="6" t="s">
        <v>17</v>
      </c>
      <c r="B967" s="7">
        <v>45497</v>
      </c>
      <c r="C967" s="6">
        <f>HYPERLINK("https://eping.wto.org/en/Search?viewData= G/TBT/N/BDI/406/Add.1, G/TBT/N/KEN/1501/Add.1, G/TBT/N/RWA/930/Add.1, G/TBT/N/TZA/1034/Add.1, G/TBT/N/UGA/1841/Add.1"," G/TBT/N/BDI/406/Add.1, G/TBT/N/KEN/1501/Add.1, G/TBT/N/RWA/930/Add.1, G/TBT/N/TZA/1034/Add.1, G/TBT/N/UGA/1841/Add.1")</f>
      </c>
      <c r="D967" s="8" t="s">
        <v>3380</v>
      </c>
      <c r="E967" s="8" t="s">
        <v>3381</v>
      </c>
      <c r="F967" s="8" t="s">
        <v>3382</v>
      </c>
      <c r="G967" s="6" t="s">
        <v>3383</v>
      </c>
      <c r="H967" s="6" t="s">
        <v>3036</v>
      </c>
      <c r="I967" s="6" t="s">
        <v>81</v>
      </c>
      <c r="J967" s="6" t="s">
        <v>122</v>
      </c>
      <c r="K967" s="6"/>
      <c r="L967" s="7" t="s">
        <v>40</v>
      </c>
      <c r="M967" s="6" t="s">
        <v>76</v>
      </c>
      <c r="N967" s="6"/>
      <c r="O967" s="6">
        <f>HYPERLINK("https://docs.wto.org/imrd/directdoc.asp?DDFDocuments/t/G/TBTN23/BDI406A1.DOCX", "https://docs.wto.org/imrd/directdoc.asp?DDFDocuments/t/G/TBTN23/BDI406A1.DOCX")</f>
      </c>
      <c r="P967" s="6">
        <f>HYPERLINK("https://docs.wto.org/imrd/directdoc.asp?DDFDocuments/u/G/TBTN23/BDI406A1.DOCX", "https://docs.wto.org/imrd/directdoc.asp?DDFDocuments/u/G/TBTN23/BDI406A1.DOCX")</f>
      </c>
      <c r="Q967" s="6">
        <f>HYPERLINK("https://docs.wto.org/imrd/directdoc.asp?DDFDocuments/v/G/TBTN23/BDI406A1.DOCX", "https://docs.wto.org/imrd/directdoc.asp?DDFDocuments/v/G/TBTN23/BDI406A1.DOCX")</f>
      </c>
    </row>
    <row r="968">
      <c r="A968" s="6" t="s">
        <v>373</v>
      </c>
      <c r="B968" s="7">
        <v>45497</v>
      </c>
      <c r="C968" s="6">
        <f>HYPERLINK("https://eping.wto.org/en/Search?viewData= G/TBT/N/ISR/1351"," G/TBT/N/ISR/1351")</f>
      </c>
      <c r="D968" s="8" t="s">
        <v>3444</v>
      </c>
      <c r="E968" s="8" t="s">
        <v>3445</v>
      </c>
      <c r="F968" s="8" t="s">
        <v>3446</v>
      </c>
      <c r="G968" s="6" t="s">
        <v>3447</v>
      </c>
      <c r="H968" s="6" t="s">
        <v>3388</v>
      </c>
      <c r="I968" s="6" t="s">
        <v>1166</v>
      </c>
      <c r="J968" s="6" t="s">
        <v>40</v>
      </c>
      <c r="K968" s="6"/>
      <c r="L968" s="7">
        <v>45557</v>
      </c>
      <c r="M968" s="6" t="s">
        <v>25</v>
      </c>
      <c r="N968" s="8" t="s">
        <v>3448</v>
      </c>
      <c r="O968" s="6">
        <f>HYPERLINK("https://docs.wto.org/imrd/directdoc.asp?DDFDocuments/t/G/TBTN24/ISR1351.DOCX", "https://docs.wto.org/imrd/directdoc.asp?DDFDocuments/t/G/TBTN24/ISR1351.DOCX")</f>
      </c>
      <c r="P968" s="6">
        <f>HYPERLINK("https://docs.wto.org/imrd/directdoc.asp?DDFDocuments/u/G/TBTN24/ISR1351.DOCX", "https://docs.wto.org/imrd/directdoc.asp?DDFDocuments/u/G/TBTN24/ISR1351.DOCX")</f>
      </c>
      <c r="Q968" s="6">
        <f>HYPERLINK("https://docs.wto.org/imrd/directdoc.asp?DDFDocuments/v/G/TBTN24/ISR1351.DOCX", "https://docs.wto.org/imrd/directdoc.asp?DDFDocuments/v/G/TBTN24/ISR1351.DOCX")</f>
      </c>
    </row>
    <row r="969">
      <c r="A969" s="6" t="s">
        <v>2024</v>
      </c>
      <c r="B969" s="7">
        <v>45497</v>
      </c>
      <c r="C969" s="6">
        <f>HYPERLINK("https://eping.wto.org/en/Search?viewData= G/TBT/N/BDI/299/Add.1, G/TBT/N/KEN/1334/Add.1, G/TBT/N/RWA/741/Add.1, G/TBT/N/TZA/859/Add.1, G/TBT/N/UGA/1708/Add.1"," G/TBT/N/BDI/299/Add.1, G/TBT/N/KEN/1334/Add.1, G/TBT/N/RWA/741/Add.1, G/TBT/N/TZA/859/Add.1, G/TBT/N/UGA/1708/Add.1")</f>
      </c>
      <c r="D969" s="8" t="s">
        <v>3408</v>
      </c>
      <c r="E969" s="8" t="s">
        <v>3409</v>
      </c>
      <c r="F969" s="8" t="s">
        <v>3332</v>
      </c>
      <c r="G969" s="6" t="s">
        <v>40</v>
      </c>
      <c r="H969" s="6" t="s">
        <v>932</v>
      </c>
      <c r="I969" s="6" t="s">
        <v>3334</v>
      </c>
      <c r="J969" s="6" t="s">
        <v>40</v>
      </c>
      <c r="K969" s="6"/>
      <c r="L969" s="7" t="s">
        <v>40</v>
      </c>
      <c r="M969" s="6" t="s">
        <v>76</v>
      </c>
      <c r="N969" s="6"/>
      <c r="O969" s="6">
        <f>HYPERLINK("https://docs.wto.org/imrd/directdoc.asp?DDFDocuments/t/G/TBTN22/BDI299A1.DOCX", "https://docs.wto.org/imrd/directdoc.asp?DDFDocuments/t/G/TBTN22/BDI299A1.DOCX")</f>
      </c>
      <c r="P969" s="6">
        <f>HYPERLINK("https://docs.wto.org/imrd/directdoc.asp?DDFDocuments/u/G/TBTN22/BDI299A1.DOCX", "https://docs.wto.org/imrd/directdoc.asp?DDFDocuments/u/G/TBTN22/BDI299A1.DOCX")</f>
      </c>
      <c r="Q969" s="6">
        <f>HYPERLINK("https://docs.wto.org/imrd/directdoc.asp?DDFDocuments/v/G/TBTN22/BDI299A1.DOCX", "https://docs.wto.org/imrd/directdoc.asp?DDFDocuments/v/G/TBTN22/BDI299A1.DOCX")</f>
      </c>
    </row>
    <row r="970">
      <c r="A970" s="6" t="s">
        <v>880</v>
      </c>
      <c r="B970" s="7">
        <v>45497</v>
      </c>
      <c r="C970" s="6">
        <f>HYPERLINK("https://eping.wto.org/en/Search?viewData= G/TBT/N/BDI/357/Add.1, G/TBT/N/KEN/1437/Add.1, G/TBT/N/RWA/868/Add.1, G/TBT/N/TZA/971/Add.1, G/TBT/N/UGA/1773/Add.1"," G/TBT/N/BDI/357/Add.1, G/TBT/N/KEN/1437/Add.1, G/TBT/N/RWA/868/Add.1, G/TBT/N/TZA/971/Add.1, G/TBT/N/UGA/1773/Add.1")</f>
      </c>
      <c r="D970" s="8" t="s">
        <v>3373</v>
      </c>
      <c r="E970" s="8" t="s">
        <v>3374</v>
      </c>
      <c r="F970" s="8" t="s">
        <v>3375</v>
      </c>
      <c r="G970" s="6" t="s">
        <v>40</v>
      </c>
      <c r="H970" s="6" t="s">
        <v>841</v>
      </c>
      <c r="I970" s="6" t="s">
        <v>3334</v>
      </c>
      <c r="J970" s="6" t="s">
        <v>40</v>
      </c>
      <c r="K970" s="6"/>
      <c r="L970" s="7" t="s">
        <v>40</v>
      </c>
      <c r="M970" s="6" t="s">
        <v>76</v>
      </c>
      <c r="N970" s="6"/>
      <c r="O970" s="6">
        <f>HYPERLINK("https://docs.wto.org/imrd/directdoc.asp?DDFDocuments/t/G/TBTN23/BDI357A1.DOCX", "https://docs.wto.org/imrd/directdoc.asp?DDFDocuments/t/G/TBTN23/BDI357A1.DOCX")</f>
      </c>
      <c r="P970" s="6">
        <f>HYPERLINK("https://docs.wto.org/imrd/directdoc.asp?DDFDocuments/u/G/TBTN23/BDI357A1.DOCX", "https://docs.wto.org/imrd/directdoc.asp?DDFDocuments/u/G/TBTN23/BDI357A1.DOCX")</f>
      </c>
      <c r="Q970" s="6">
        <f>HYPERLINK("https://docs.wto.org/imrd/directdoc.asp?DDFDocuments/v/G/TBTN23/BDI357A1.DOCX", "https://docs.wto.org/imrd/directdoc.asp?DDFDocuments/v/G/TBTN23/BDI357A1.DOCX")</f>
      </c>
    </row>
    <row r="971">
      <c r="A971" s="6" t="s">
        <v>2041</v>
      </c>
      <c r="B971" s="7">
        <v>45497</v>
      </c>
      <c r="C971" s="6">
        <f>HYPERLINK("https://eping.wto.org/en/Search?viewData= G/TBT/N/BDI/294/Add.1, G/TBT/N/KEN/1329/Add.1, G/TBT/N/RWA/736/Add.1, G/TBT/N/TZA/852/Add.1, G/TBT/N/UGA/1703/Add.1"," G/TBT/N/BDI/294/Add.1, G/TBT/N/KEN/1329/Add.1, G/TBT/N/RWA/736/Add.1, G/TBT/N/TZA/852/Add.1, G/TBT/N/UGA/1703/Add.1")</f>
      </c>
      <c r="D971" s="8" t="s">
        <v>3360</v>
      </c>
      <c r="E971" s="8" t="s">
        <v>3361</v>
      </c>
      <c r="F971" s="8" t="s">
        <v>3362</v>
      </c>
      <c r="G971" s="6" t="s">
        <v>3363</v>
      </c>
      <c r="H971" s="6" t="s">
        <v>3364</v>
      </c>
      <c r="I971" s="6" t="s">
        <v>2392</v>
      </c>
      <c r="J971" s="6" t="s">
        <v>40</v>
      </c>
      <c r="K971" s="6"/>
      <c r="L971" s="7" t="s">
        <v>40</v>
      </c>
      <c r="M971" s="6" t="s">
        <v>76</v>
      </c>
      <c r="N971" s="6"/>
      <c r="O971" s="6">
        <f>HYPERLINK("https://docs.wto.org/imrd/directdoc.asp?DDFDocuments/t/G/TBTN22/BDI294A1.DOCX", "https://docs.wto.org/imrd/directdoc.asp?DDFDocuments/t/G/TBTN22/BDI294A1.DOCX")</f>
      </c>
      <c r="P971" s="6">
        <f>HYPERLINK("https://docs.wto.org/imrd/directdoc.asp?DDFDocuments/u/G/TBTN22/BDI294A1.DOCX", "https://docs.wto.org/imrd/directdoc.asp?DDFDocuments/u/G/TBTN22/BDI294A1.DOCX")</f>
      </c>
      <c r="Q971" s="6">
        <f>HYPERLINK("https://docs.wto.org/imrd/directdoc.asp?DDFDocuments/v/G/TBTN22/BDI294A1.DOCX", "https://docs.wto.org/imrd/directdoc.asp?DDFDocuments/v/G/TBTN22/BDI294A1.DOCX")</f>
      </c>
    </row>
    <row r="972">
      <c r="A972" s="6" t="s">
        <v>2030</v>
      </c>
      <c r="B972" s="7">
        <v>45497</v>
      </c>
      <c r="C972" s="6">
        <f>HYPERLINK("https://eping.wto.org/en/Search?viewData= G/TBT/N/BDI/405/Add.1, G/TBT/N/KEN/1500/Add.1, G/TBT/N/RWA/929/Add.1, G/TBT/N/TZA/1033/Add.1, G/TBT/N/UGA/1840/Add.1"," G/TBT/N/BDI/405/Add.1, G/TBT/N/KEN/1500/Add.1, G/TBT/N/RWA/929/Add.1, G/TBT/N/TZA/1033/Add.1, G/TBT/N/UGA/1840/Add.1")</f>
      </c>
      <c r="D972" s="8" t="s">
        <v>3410</v>
      </c>
      <c r="E972" s="8" t="s">
        <v>3411</v>
      </c>
      <c r="F972" s="8" t="s">
        <v>3412</v>
      </c>
      <c r="G972" s="6" t="s">
        <v>3413</v>
      </c>
      <c r="H972" s="6" t="s">
        <v>3036</v>
      </c>
      <c r="I972" s="6" t="s">
        <v>3280</v>
      </c>
      <c r="J972" s="6" t="s">
        <v>122</v>
      </c>
      <c r="K972" s="6"/>
      <c r="L972" s="7" t="s">
        <v>40</v>
      </c>
      <c r="M972" s="6" t="s">
        <v>76</v>
      </c>
      <c r="N972" s="6"/>
      <c r="O972" s="6">
        <f>HYPERLINK("https://docs.wto.org/imrd/directdoc.asp?DDFDocuments/t/G/TBTN23/BDI405A1.DOCX", "https://docs.wto.org/imrd/directdoc.asp?DDFDocuments/t/G/TBTN23/BDI405A1.DOCX")</f>
      </c>
      <c r="P972" s="6">
        <f>HYPERLINK("https://docs.wto.org/imrd/directdoc.asp?DDFDocuments/u/G/TBTN23/BDI405A1.DOCX", "https://docs.wto.org/imrd/directdoc.asp?DDFDocuments/u/G/TBTN23/BDI405A1.DOCX")</f>
      </c>
      <c r="Q972" s="6">
        <f>HYPERLINK("https://docs.wto.org/imrd/directdoc.asp?DDFDocuments/v/G/TBTN23/BDI405A1.DOCX", "https://docs.wto.org/imrd/directdoc.asp?DDFDocuments/v/G/TBTN23/BDI405A1.DOCX")</f>
      </c>
    </row>
    <row r="973">
      <c r="A973" s="6" t="s">
        <v>2024</v>
      </c>
      <c r="B973" s="7">
        <v>45496</v>
      </c>
      <c r="C973" s="6">
        <f>HYPERLINK("https://eping.wto.org/en/Search?viewData= G/TBT/N/BDI/314/Add.1, G/TBT/N/KEN/1363/Add.1, G/TBT/N/RWA/755/Add.1, G/TBT/N/TZA/878/Add.1, G/TBT/N/UGA/1725/Add.1"," G/TBT/N/BDI/314/Add.1, G/TBT/N/KEN/1363/Add.1, G/TBT/N/RWA/755/Add.1, G/TBT/N/TZA/878/Add.1, G/TBT/N/UGA/1725/Add.1")</f>
      </c>
      <c r="D973" s="8" t="s">
        <v>3449</v>
      </c>
      <c r="E973" s="8" t="s">
        <v>3450</v>
      </c>
      <c r="F973" s="8" t="s">
        <v>3332</v>
      </c>
      <c r="G973" s="6" t="s">
        <v>40</v>
      </c>
      <c r="H973" s="6" t="s">
        <v>932</v>
      </c>
      <c r="I973" s="6" t="s">
        <v>3334</v>
      </c>
      <c r="J973" s="6" t="s">
        <v>40</v>
      </c>
      <c r="K973" s="6"/>
      <c r="L973" s="7" t="s">
        <v>40</v>
      </c>
      <c r="M973" s="6" t="s">
        <v>76</v>
      </c>
      <c r="N973" s="6"/>
      <c r="O973" s="6">
        <f>HYPERLINK("https://docs.wto.org/imrd/directdoc.asp?DDFDocuments/t/G/TBTN23/BDI314A1.DOCX", "https://docs.wto.org/imrd/directdoc.asp?DDFDocuments/t/G/TBTN23/BDI314A1.DOCX")</f>
      </c>
      <c r="P973" s="6">
        <f>HYPERLINK("https://docs.wto.org/imrd/directdoc.asp?DDFDocuments/u/G/TBTN23/BDI314A1.DOCX", "https://docs.wto.org/imrd/directdoc.asp?DDFDocuments/u/G/TBTN23/BDI314A1.DOCX")</f>
      </c>
      <c r="Q973" s="6">
        <f>HYPERLINK("https://docs.wto.org/imrd/directdoc.asp?DDFDocuments/v/G/TBTN23/BDI314A1.DOCX", "https://docs.wto.org/imrd/directdoc.asp?DDFDocuments/v/G/TBTN23/BDI314A1.DOCX")</f>
      </c>
    </row>
    <row r="974">
      <c r="A974" s="6" t="s">
        <v>2030</v>
      </c>
      <c r="B974" s="7">
        <v>45496</v>
      </c>
      <c r="C974" s="6">
        <f>HYPERLINK("https://eping.wto.org/en/Search?viewData= G/TBT/N/BDI/314/Add.1, G/TBT/N/KEN/1363/Add.1, G/TBT/N/RWA/755/Add.1, G/TBT/N/TZA/878/Add.1, G/TBT/N/UGA/1725/Add.1"," G/TBT/N/BDI/314/Add.1, G/TBT/N/KEN/1363/Add.1, G/TBT/N/RWA/755/Add.1, G/TBT/N/TZA/878/Add.1, G/TBT/N/UGA/1725/Add.1")</f>
      </c>
      <c r="D974" s="8" t="s">
        <v>3449</v>
      </c>
      <c r="E974" s="8" t="s">
        <v>3450</v>
      </c>
      <c r="F974" s="8" t="s">
        <v>3332</v>
      </c>
      <c r="G974" s="6" t="s">
        <v>40</v>
      </c>
      <c r="H974" s="6" t="s">
        <v>932</v>
      </c>
      <c r="I974" s="6" t="s">
        <v>3334</v>
      </c>
      <c r="J974" s="6" t="s">
        <v>40</v>
      </c>
      <c r="K974" s="6"/>
      <c r="L974" s="7" t="s">
        <v>40</v>
      </c>
      <c r="M974" s="6" t="s">
        <v>76</v>
      </c>
      <c r="N974" s="6"/>
      <c r="O974" s="6">
        <f>HYPERLINK("https://docs.wto.org/imrd/directdoc.asp?DDFDocuments/t/G/TBTN23/BDI314A1.DOCX", "https://docs.wto.org/imrd/directdoc.asp?DDFDocuments/t/G/TBTN23/BDI314A1.DOCX")</f>
      </c>
      <c r="P974" s="6">
        <f>HYPERLINK("https://docs.wto.org/imrd/directdoc.asp?DDFDocuments/u/G/TBTN23/BDI314A1.DOCX", "https://docs.wto.org/imrd/directdoc.asp?DDFDocuments/u/G/TBTN23/BDI314A1.DOCX")</f>
      </c>
      <c r="Q974" s="6">
        <f>HYPERLINK("https://docs.wto.org/imrd/directdoc.asp?DDFDocuments/v/G/TBTN23/BDI314A1.DOCX", "https://docs.wto.org/imrd/directdoc.asp?DDFDocuments/v/G/TBTN23/BDI314A1.DOCX")</f>
      </c>
    </row>
    <row r="975">
      <c r="A975" s="6" t="s">
        <v>2030</v>
      </c>
      <c r="B975" s="7">
        <v>45496</v>
      </c>
      <c r="C975" s="6">
        <f>HYPERLINK("https://eping.wto.org/en/Search?viewData= G/TBT/N/BDI/296/Add.1, G/TBT/N/KEN/1331/Add.1, G/TBT/N/RWA/738/Add.1, G/TBT/N/TZA/856/Add.1, G/TBT/N/UGA/1705/Add.1"," G/TBT/N/BDI/296/Add.1, G/TBT/N/KEN/1331/Add.1, G/TBT/N/RWA/738/Add.1, G/TBT/N/TZA/856/Add.1, G/TBT/N/UGA/1705/Add.1")</f>
      </c>
      <c r="D975" s="8" t="s">
        <v>3451</v>
      </c>
      <c r="E975" s="8" t="s">
        <v>3452</v>
      </c>
      <c r="F975" s="8" t="s">
        <v>3332</v>
      </c>
      <c r="G975" s="6" t="s">
        <v>40</v>
      </c>
      <c r="H975" s="6" t="s">
        <v>932</v>
      </c>
      <c r="I975" s="6" t="s">
        <v>3453</v>
      </c>
      <c r="J975" s="6" t="s">
        <v>40</v>
      </c>
      <c r="K975" s="6"/>
      <c r="L975" s="7" t="s">
        <v>40</v>
      </c>
      <c r="M975" s="6" t="s">
        <v>76</v>
      </c>
      <c r="N975" s="6"/>
      <c r="O975" s="6">
        <f>HYPERLINK("https://docs.wto.org/imrd/directdoc.asp?DDFDocuments/t/G/TBTN22/BDI296A1.DOCX", "https://docs.wto.org/imrd/directdoc.asp?DDFDocuments/t/G/TBTN22/BDI296A1.DOCX")</f>
      </c>
      <c r="P975" s="6">
        <f>HYPERLINK("https://docs.wto.org/imrd/directdoc.asp?DDFDocuments/u/G/TBTN22/BDI296A1.DOCX", "https://docs.wto.org/imrd/directdoc.asp?DDFDocuments/u/G/TBTN22/BDI296A1.DOCX")</f>
      </c>
      <c r="Q975" s="6">
        <f>HYPERLINK("https://docs.wto.org/imrd/directdoc.asp?DDFDocuments/v/G/TBTN22/BDI296A1.DOCX", "https://docs.wto.org/imrd/directdoc.asp?DDFDocuments/v/G/TBTN22/BDI296A1.DOCX")</f>
      </c>
    </row>
    <row r="976">
      <c r="A976" s="6" t="s">
        <v>880</v>
      </c>
      <c r="B976" s="7">
        <v>45496</v>
      </c>
      <c r="C976" s="6">
        <f>HYPERLINK("https://eping.wto.org/en/Search?viewData= G/TBT/N/BDI/296/Add.1, G/TBT/N/KEN/1331/Add.1, G/TBT/N/RWA/738/Add.1, G/TBT/N/TZA/856/Add.1, G/TBT/N/UGA/1705/Add.1"," G/TBT/N/BDI/296/Add.1, G/TBT/N/KEN/1331/Add.1, G/TBT/N/RWA/738/Add.1, G/TBT/N/TZA/856/Add.1, G/TBT/N/UGA/1705/Add.1")</f>
      </c>
      <c r="D976" s="8" t="s">
        <v>3451</v>
      </c>
      <c r="E976" s="8" t="s">
        <v>3452</v>
      </c>
      <c r="F976" s="8" t="s">
        <v>3332</v>
      </c>
      <c r="G976" s="6" t="s">
        <v>40</v>
      </c>
      <c r="H976" s="6" t="s">
        <v>932</v>
      </c>
      <c r="I976" s="6" t="s">
        <v>3453</v>
      </c>
      <c r="J976" s="6" t="s">
        <v>40</v>
      </c>
      <c r="K976" s="6"/>
      <c r="L976" s="7" t="s">
        <v>40</v>
      </c>
      <c r="M976" s="6" t="s">
        <v>76</v>
      </c>
      <c r="N976" s="6"/>
      <c r="O976" s="6">
        <f>HYPERLINK("https://docs.wto.org/imrd/directdoc.asp?DDFDocuments/t/G/TBTN22/BDI296A1.DOCX", "https://docs.wto.org/imrd/directdoc.asp?DDFDocuments/t/G/TBTN22/BDI296A1.DOCX")</f>
      </c>
      <c r="P976" s="6">
        <f>HYPERLINK("https://docs.wto.org/imrd/directdoc.asp?DDFDocuments/u/G/TBTN22/BDI296A1.DOCX", "https://docs.wto.org/imrd/directdoc.asp?DDFDocuments/u/G/TBTN22/BDI296A1.DOCX")</f>
      </c>
      <c r="Q976" s="6">
        <f>HYPERLINK("https://docs.wto.org/imrd/directdoc.asp?DDFDocuments/v/G/TBTN22/BDI296A1.DOCX", "https://docs.wto.org/imrd/directdoc.asp?DDFDocuments/v/G/TBTN22/BDI296A1.DOCX")</f>
      </c>
    </row>
    <row r="977">
      <c r="A977" s="6" t="s">
        <v>2030</v>
      </c>
      <c r="B977" s="7">
        <v>45496</v>
      </c>
      <c r="C977" s="6">
        <f>HYPERLINK("https://eping.wto.org/en/Search?viewData= G/TBT/N/BDI/356/Add.1, G/TBT/N/KEN/1436/Add.1, G/TBT/N/RWA/867/Add.1, G/TBT/N/TZA/970/Add.1, G/TBT/N/UGA/1772/Add.1"," G/TBT/N/BDI/356/Add.1, G/TBT/N/KEN/1436/Add.1, G/TBT/N/RWA/867/Add.1, G/TBT/N/TZA/970/Add.1, G/TBT/N/UGA/1772/Add.1")</f>
      </c>
      <c r="D977" s="8" t="s">
        <v>3454</v>
      </c>
      <c r="E977" s="8" t="s">
        <v>3455</v>
      </c>
      <c r="F977" s="8" t="s">
        <v>3375</v>
      </c>
      <c r="G977" s="6" t="s">
        <v>40</v>
      </c>
      <c r="H977" s="6" t="s">
        <v>841</v>
      </c>
      <c r="I977" s="6" t="s">
        <v>3334</v>
      </c>
      <c r="J977" s="6" t="s">
        <v>40</v>
      </c>
      <c r="K977" s="6"/>
      <c r="L977" s="7" t="s">
        <v>40</v>
      </c>
      <c r="M977" s="6" t="s">
        <v>76</v>
      </c>
      <c r="N977" s="6"/>
      <c r="O977" s="6">
        <f>HYPERLINK("https://docs.wto.org/imrd/directdoc.asp?DDFDocuments/t/G/TBTN23/BDI356A1.DOCX", "https://docs.wto.org/imrd/directdoc.asp?DDFDocuments/t/G/TBTN23/BDI356A1.DOCX")</f>
      </c>
      <c r="P977" s="6">
        <f>HYPERLINK("https://docs.wto.org/imrd/directdoc.asp?DDFDocuments/u/G/TBTN23/BDI356A1.DOCX", "https://docs.wto.org/imrd/directdoc.asp?DDFDocuments/u/G/TBTN23/BDI356A1.DOCX")</f>
      </c>
      <c r="Q977" s="6">
        <f>HYPERLINK("https://docs.wto.org/imrd/directdoc.asp?DDFDocuments/v/G/TBTN23/BDI356A1.DOCX", "https://docs.wto.org/imrd/directdoc.asp?DDFDocuments/v/G/TBTN23/BDI356A1.DOCX")</f>
      </c>
    </row>
    <row r="978">
      <c r="A978" s="6" t="s">
        <v>17</v>
      </c>
      <c r="B978" s="7">
        <v>45496</v>
      </c>
      <c r="C978" s="6">
        <f>HYPERLINK("https://eping.wto.org/en/Search?viewData= G/TBT/N/BDI/326/Add.1, G/TBT/N/KEN/1388/Add.1, G/TBT/N/RWA/833/Add.1, G/TBT/N/TZA/912/Add.1, G/TBT/N/UGA/1741/Add.1"," G/TBT/N/BDI/326/Add.1, G/TBT/N/KEN/1388/Add.1, G/TBT/N/RWA/833/Add.1, G/TBT/N/TZA/912/Add.1, G/TBT/N/UGA/1741/Add.1")</f>
      </c>
      <c r="D978" s="8" t="s">
        <v>3456</v>
      </c>
      <c r="E978" s="8" t="s">
        <v>3457</v>
      </c>
      <c r="F978" s="8" t="s">
        <v>3339</v>
      </c>
      <c r="G978" s="6" t="s">
        <v>40</v>
      </c>
      <c r="H978" s="6" t="s">
        <v>363</v>
      </c>
      <c r="I978" s="6" t="s">
        <v>3407</v>
      </c>
      <c r="J978" s="6" t="s">
        <v>40</v>
      </c>
      <c r="K978" s="6"/>
      <c r="L978" s="7" t="s">
        <v>40</v>
      </c>
      <c r="M978" s="6" t="s">
        <v>76</v>
      </c>
      <c r="N978" s="6"/>
      <c r="O978" s="6">
        <f>HYPERLINK("https://docs.wto.org/imrd/directdoc.asp?DDFDocuments/t/G/TBTN23/BDI326A1.DOCX", "https://docs.wto.org/imrd/directdoc.asp?DDFDocuments/t/G/TBTN23/BDI326A1.DOCX")</f>
      </c>
      <c r="P978" s="6">
        <f>HYPERLINK("https://docs.wto.org/imrd/directdoc.asp?DDFDocuments/u/G/TBTN23/BDI326A1.DOCX", "https://docs.wto.org/imrd/directdoc.asp?DDFDocuments/u/G/TBTN23/BDI326A1.DOCX")</f>
      </c>
      <c r="Q978" s="6">
        <f>HYPERLINK("https://docs.wto.org/imrd/directdoc.asp?DDFDocuments/v/G/TBTN23/BDI326A1.DOCX", "https://docs.wto.org/imrd/directdoc.asp?DDFDocuments/v/G/TBTN23/BDI326A1.DOCX")</f>
      </c>
    </row>
    <row r="979">
      <c r="A979" s="6" t="s">
        <v>17</v>
      </c>
      <c r="B979" s="7">
        <v>45496</v>
      </c>
      <c r="C979" s="6">
        <f>HYPERLINK("https://eping.wto.org/en/Search?viewData= G/TBT/N/BDI/315/Add.1, G/TBT/N/KEN/1364/Add.1, G/TBT/N/RWA/756/Add.1, G/TBT/N/TZA/879/Add.1, G/TBT/N/UGA/1726/Add.1"," G/TBT/N/BDI/315/Add.1, G/TBT/N/KEN/1364/Add.1, G/TBT/N/RWA/756/Add.1, G/TBT/N/TZA/879/Add.1, G/TBT/N/UGA/1726/Add.1")</f>
      </c>
      <c r="D979" s="8" t="s">
        <v>3458</v>
      </c>
      <c r="E979" s="8" t="s">
        <v>3459</v>
      </c>
      <c r="F979" s="8" t="s">
        <v>3332</v>
      </c>
      <c r="G979" s="6" t="s">
        <v>40</v>
      </c>
      <c r="H979" s="6" t="s">
        <v>932</v>
      </c>
      <c r="I979" s="6" t="s">
        <v>3407</v>
      </c>
      <c r="J979" s="6" t="s">
        <v>40</v>
      </c>
      <c r="K979" s="6"/>
      <c r="L979" s="7" t="s">
        <v>40</v>
      </c>
      <c r="M979" s="6" t="s">
        <v>76</v>
      </c>
      <c r="N979" s="6"/>
      <c r="O979" s="6">
        <f>HYPERLINK("https://docs.wto.org/imrd/directdoc.asp?DDFDocuments/t/G/TBTN23/BDI315A1.DOCX", "https://docs.wto.org/imrd/directdoc.asp?DDFDocuments/t/G/TBTN23/BDI315A1.DOCX")</f>
      </c>
      <c r="P979" s="6">
        <f>HYPERLINK("https://docs.wto.org/imrd/directdoc.asp?DDFDocuments/u/G/TBTN23/BDI315A1.DOCX", "https://docs.wto.org/imrd/directdoc.asp?DDFDocuments/u/G/TBTN23/BDI315A1.DOCX")</f>
      </c>
      <c r="Q979" s="6">
        <f>HYPERLINK("https://docs.wto.org/imrd/directdoc.asp?DDFDocuments/v/G/TBTN23/BDI315A1.DOCX", "https://docs.wto.org/imrd/directdoc.asp?DDFDocuments/v/G/TBTN23/BDI315A1.DOCX")</f>
      </c>
    </row>
    <row r="980">
      <c r="A980" s="6" t="s">
        <v>2024</v>
      </c>
      <c r="B980" s="7">
        <v>45496</v>
      </c>
      <c r="C980" s="6">
        <f>HYPERLINK("https://eping.wto.org/en/Search?viewData= G/TBT/N/BDI/326/Add.1, G/TBT/N/KEN/1388/Add.1, G/TBT/N/RWA/833/Add.1, G/TBT/N/TZA/912/Add.1, G/TBT/N/UGA/1741/Add.1"," G/TBT/N/BDI/326/Add.1, G/TBT/N/KEN/1388/Add.1, G/TBT/N/RWA/833/Add.1, G/TBT/N/TZA/912/Add.1, G/TBT/N/UGA/1741/Add.1")</f>
      </c>
      <c r="D980" s="8" t="s">
        <v>3456</v>
      </c>
      <c r="E980" s="8" t="s">
        <v>3457</v>
      </c>
      <c r="F980" s="8" t="s">
        <v>3339</v>
      </c>
      <c r="G980" s="6" t="s">
        <v>40</v>
      </c>
      <c r="H980" s="6" t="s">
        <v>363</v>
      </c>
      <c r="I980" s="6" t="s">
        <v>3334</v>
      </c>
      <c r="J980" s="6" t="s">
        <v>40</v>
      </c>
      <c r="K980" s="6"/>
      <c r="L980" s="7" t="s">
        <v>40</v>
      </c>
      <c r="M980" s="6" t="s">
        <v>76</v>
      </c>
      <c r="N980" s="6"/>
      <c r="O980" s="6">
        <f>HYPERLINK("https://docs.wto.org/imrd/directdoc.asp?DDFDocuments/t/G/TBTN23/BDI326A1.DOCX", "https://docs.wto.org/imrd/directdoc.asp?DDFDocuments/t/G/TBTN23/BDI326A1.DOCX")</f>
      </c>
      <c r="P980" s="6">
        <f>HYPERLINK("https://docs.wto.org/imrd/directdoc.asp?DDFDocuments/u/G/TBTN23/BDI326A1.DOCX", "https://docs.wto.org/imrd/directdoc.asp?DDFDocuments/u/G/TBTN23/BDI326A1.DOCX")</f>
      </c>
      <c r="Q980" s="6">
        <f>HYPERLINK("https://docs.wto.org/imrd/directdoc.asp?DDFDocuments/v/G/TBTN23/BDI326A1.DOCX", "https://docs.wto.org/imrd/directdoc.asp?DDFDocuments/v/G/TBTN23/BDI326A1.DOCX")</f>
      </c>
    </row>
    <row r="981">
      <c r="A981" s="6" t="s">
        <v>2030</v>
      </c>
      <c r="B981" s="7">
        <v>45496</v>
      </c>
      <c r="C981" s="6">
        <f>HYPERLINK("https://eping.wto.org/en/Search?viewData= G/TBT/N/BDI/403/Add.1, G/TBT/N/KEN/1498/Add.1, G/TBT/N/RWA/927/Add.1, G/TBT/N/TZA/1031/Add.1, G/TBT/N/UGA/1838/Add.1"," G/TBT/N/BDI/403/Add.1, G/TBT/N/KEN/1498/Add.1, G/TBT/N/RWA/927/Add.1, G/TBT/N/TZA/1031/Add.1, G/TBT/N/UGA/1838/Add.1")</f>
      </c>
      <c r="D981" s="8" t="s">
        <v>3460</v>
      </c>
      <c r="E981" s="8" t="s">
        <v>3461</v>
      </c>
      <c r="F981" s="8" t="s">
        <v>3462</v>
      </c>
      <c r="G981" s="6" t="s">
        <v>3463</v>
      </c>
      <c r="H981" s="6" t="s">
        <v>3036</v>
      </c>
      <c r="I981" s="6" t="s">
        <v>3280</v>
      </c>
      <c r="J981" s="6" t="s">
        <v>122</v>
      </c>
      <c r="K981" s="6"/>
      <c r="L981" s="7" t="s">
        <v>40</v>
      </c>
      <c r="M981" s="6" t="s">
        <v>76</v>
      </c>
      <c r="N981" s="6"/>
      <c r="O981" s="6">
        <f>HYPERLINK("https://docs.wto.org/imrd/directdoc.asp?DDFDocuments/t/G/TBTN23/BDI403A1.DOCX", "https://docs.wto.org/imrd/directdoc.asp?DDFDocuments/t/G/TBTN23/BDI403A1.DOCX")</f>
      </c>
      <c r="P981" s="6"/>
      <c r="Q981" s="6"/>
    </row>
    <row r="982">
      <c r="A982" s="6" t="s">
        <v>2041</v>
      </c>
      <c r="B982" s="7">
        <v>45496</v>
      </c>
      <c r="C982" s="6">
        <f>HYPERLINK("https://eping.wto.org/en/Search?viewData= G/TBT/N/BDI/296/Add.1, G/TBT/N/KEN/1331/Add.1, G/TBT/N/RWA/738/Add.1, G/TBT/N/TZA/856/Add.1, G/TBT/N/UGA/1705/Add.1"," G/TBT/N/BDI/296/Add.1, G/TBT/N/KEN/1331/Add.1, G/TBT/N/RWA/738/Add.1, G/TBT/N/TZA/856/Add.1, G/TBT/N/UGA/1705/Add.1")</f>
      </c>
      <c r="D982" s="8" t="s">
        <v>3451</v>
      </c>
      <c r="E982" s="8" t="s">
        <v>3452</v>
      </c>
      <c r="F982" s="8" t="s">
        <v>3332</v>
      </c>
      <c r="G982" s="6" t="s">
        <v>40</v>
      </c>
      <c r="H982" s="6" t="s">
        <v>932</v>
      </c>
      <c r="I982" s="6" t="s">
        <v>3453</v>
      </c>
      <c r="J982" s="6" t="s">
        <v>40</v>
      </c>
      <c r="K982" s="6"/>
      <c r="L982" s="7" t="s">
        <v>40</v>
      </c>
      <c r="M982" s="6" t="s">
        <v>76</v>
      </c>
      <c r="N982" s="6"/>
      <c r="O982" s="6">
        <f>HYPERLINK("https://docs.wto.org/imrd/directdoc.asp?DDFDocuments/t/G/TBTN22/BDI296A1.DOCX", "https://docs.wto.org/imrd/directdoc.asp?DDFDocuments/t/G/TBTN22/BDI296A1.DOCX")</f>
      </c>
      <c r="P982" s="6">
        <f>HYPERLINK("https://docs.wto.org/imrd/directdoc.asp?DDFDocuments/u/G/TBTN22/BDI296A1.DOCX", "https://docs.wto.org/imrd/directdoc.asp?DDFDocuments/u/G/TBTN22/BDI296A1.DOCX")</f>
      </c>
      <c r="Q982" s="6">
        <f>HYPERLINK("https://docs.wto.org/imrd/directdoc.asp?DDFDocuments/v/G/TBTN22/BDI296A1.DOCX", "https://docs.wto.org/imrd/directdoc.asp?DDFDocuments/v/G/TBTN22/BDI296A1.DOCX")</f>
      </c>
    </row>
    <row r="983">
      <c r="A983" s="6" t="s">
        <v>2024</v>
      </c>
      <c r="B983" s="7">
        <v>45496</v>
      </c>
      <c r="C983" s="6">
        <f>HYPERLINK("https://eping.wto.org/en/Search?viewData= G/TBT/N/BDI/298/Add.1, G/TBT/N/KEN/1333/Add.1, G/TBT/N/RWA/740/Add.1, G/TBT/N/TZA/858/Add.1, G/TBT/N/UGA/1707/Add.1"," G/TBT/N/BDI/298/Add.1, G/TBT/N/KEN/1333/Add.1, G/TBT/N/RWA/740/Add.1, G/TBT/N/TZA/858/Add.1, G/TBT/N/UGA/1707/Add.1")</f>
      </c>
      <c r="D983" s="8" t="s">
        <v>3464</v>
      </c>
      <c r="E983" s="8" t="s">
        <v>3465</v>
      </c>
      <c r="F983" s="8" t="s">
        <v>3466</v>
      </c>
      <c r="G983" s="6" t="s">
        <v>3467</v>
      </c>
      <c r="H983" s="6" t="s">
        <v>3468</v>
      </c>
      <c r="I983" s="6" t="s">
        <v>2392</v>
      </c>
      <c r="J983" s="6" t="s">
        <v>40</v>
      </c>
      <c r="K983" s="6"/>
      <c r="L983" s="7" t="s">
        <v>40</v>
      </c>
      <c r="M983" s="6" t="s">
        <v>76</v>
      </c>
      <c r="N983" s="6"/>
      <c r="O983" s="6">
        <f>HYPERLINK("https://docs.wto.org/imrd/directdoc.asp?DDFDocuments/t/G/TBTN22/BDI298A1.DOCX", "https://docs.wto.org/imrd/directdoc.asp?DDFDocuments/t/G/TBTN22/BDI298A1.DOCX")</f>
      </c>
      <c r="P983" s="6">
        <f>HYPERLINK("https://docs.wto.org/imrd/directdoc.asp?DDFDocuments/u/G/TBTN22/BDI298A1.DOCX", "https://docs.wto.org/imrd/directdoc.asp?DDFDocuments/u/G/TBTN22/BDI298A1.DOCX")</f>
      </c>
      <c r="Q983" s="6">
        <f>HYPERLINK("https://docs.wto.org/imrd/directdoc.asp?DDFDocuments/v/G/TBTN22/BDI298A1.DOCX", "https://docs.wto.org/imrd/directdoc.asp?DDFDocuments/v/G/TBTN22/BDI298A1.DOCX")</f>
      </c>
    </row>
    <row r="984">
      <c r="A984" s="6" t="s">
        <v>17</v>
      </c>
      <c r="B984" s="7">
        <v>45496</v>
      </c>
      <c r="C984" s="6">
        <f>HYPERLINK("https://eping.wto.org/en/Search?viewData= G/TBT/N/BDI/314/Add.1, G/TBT/N/KEN/1363/Add.1, G/TBT/N/RWA/755/Add.1, G/TBT/N/TZA/878/Add.1, G/TBT/N/UGA/1725/Add.1"," G/TBT/N/BDI/314/Add.1, G/TBT/N/KEN/1363/Add.1, G/TBT/N/RWA/755/Add.1, G/TBT/N/TZA/878/Add.1, G/TBT/N/UGA/1725/Add.1")</f>
      </c>
      <c r="D984" s="8" t="s">
        <v>3449</v>
      </c>
      <c r="E984" s="8" t="s">
        <v>3450</v>
      </c>
      <c r="F984" s="8" t="s">
        <v>3332</v>
      </c>
      <c r="G984" s="6" t="s">
        <v>40</v>
      </c>
      <c r="H984" s="6" t="s">
        <v>932</v>
      </c>
      <c r="I984" s="6" t="s">
        <v>3407</v>
      </c>
      <c r="J984" s="6" t="s">
        <v>40</v>
      </c>
      <c r="K984" s="6"/>
      <c r="L984" s="7" t="s">
        <v>40</v>
      </c>
      <c r="M984" s="6" t="s">
        <v>76</v>
      </c>
      <c r="N984" s="6"/>
      <c r="O984" s="6">
        <f>HYPERLINK("https://docs.wto.org/imrd/directdoc.asp?DDFDocuments/t/G/TBTN23/BDI314A1.DOCX", "https://docs.wto.org/imrd/directdoc.asp?DDFDocuments/t/G/TBTN23/BDI314A1.DOCX")</f>
      </c>
      <c r="P984" s="6">
        <f>HYPERLINK("https://docs.wto.org/imrd/directdoc.asp?DDFDocuments/u/G/TBTN23/BDI314A1.DOCX", "https://docs.wto.org/imrd/directdoc.asp?DDFDocuments/u/G/TBTN23/BDI314A1.DOCX")</f>
      </c>
      <c r="Q984" s="6">
        <f>HYPERLINK("https://docs.wto.org/imrd/directdoc.asp?DDFDocuments/v/G/TBTN23/BDI314A1.DOCX", "https://docs.wto.org/imrd/directdoc.asp?DDFDocuments/v/G/TBTN23/BDI314A1.DOCX")</f>
      </c>
    </row>
    <row r="985">
      <c r="A985" s="6" t="s">
        <v>1076</v>
      </c>
      <c r="B985" s="7">
        <v>45496</v>
      </c>
      <c r="C985" s="6">
        <f>HYPERLINK("https://eping.wto.org/en/Search?viewData= G/TBT/N/CHN/1827/Add.1"," G/TBT/N/CHN/1827/Add.1")</f>
      </c>
      <c r="D985" s="8" t="s">
        <v>3469</v>
      </c>
      <c r="E985" s="8" t="s">
        <v>3470</v>
      </c>
      <c r="F985" s="8" t="s">
        <v>3471</v>
      </c>
      <c r="G985" s="6" t="s">
        <v>40</v>
      </c>
      <c r="H985" s="6" t="s">
        <v>270</v>
      </c>
      <c r="I985" s="6" t="s">
        <v>3472</v>
      </c>
      <c r="J985" s="6" t="s">
        <v>122</v>
      </c>
      <c r="K985" s="6"/>
      <c r="L985" s="7" t="s">
        <v>40</v>
      </c>
      <c r="M985" s="6" t="s">
        <v>76</v>
      </c>
      <c r="N985" s="8" t="s">
        <v>3473</v>
      </c>
      <c r="O985" s="6">
        <f>HYPERLINK("https://docs.wto.org/imrd/directdoc.asp?DDFDocuments/t/G/TBTN24/CHN1827A1.DOCX", "https://docs.wto.org/imrd/directdoc.asp?DDFDocuments/t/G/TBTN24/CHN1827A1.DOCX")</f>
      </c>
      <c r="P985" s="6">
        <f>HYPERLINK("https://docs.wto.org/imrd/directdoc.asp?DDFDocuments/u/G/TBTN24/CHN1827A1.DOCX", "https://docs.wto.org/imrd/directdoc.asp?DDFDocuments/u/G/TBTN24/CHN1827A1.DOCX")</f>
      </c>
      <c r="Q985" s="6">
        <f>HYPERLINK("https://docs.wto.org/imrd/directdoc.asp?DDFDocuments/v/G/TBTN24/CHN1827A1.DOCX", "https://docs.wto.org/imrd/directdoc.asp?DDFDocuments/v/G/TBTN24/CHN1827A1.DOCX")</f>
      </c>
    </row>
    <row r="986">
      <c r="A986" s="6" t="s">
        <v>17</v>
      </c>
      <c r="B986" s="7">
        <v>45496</v>
      </c>
      <c r="C986" s="6">
        <f>HYPERLINK("https://eping.wto.org/en/Search?viewData= G/TBT/N/BDI/404/Add.1, G/TBT/N/KEN/1499/Add.1, G/TBT/N/RWA/928/Add.1, G/TBT/N/TZA/1032/Add.1, G/TBT/N/UGA/1839/Add.1"," G/TBT/N/BDI/404/Add.1, G/TBT/N/KEN/1499/Add.1, G/TBT/N/RWA/928/Add.1, G/TBT/N/TZA/1032/Add.1, G/TBT/N/UGA/1839/Add.1")</f>
      </c>
      <c r="D986" s="8" t="s">
        <v>3474</v>
      </c>
      <c r="E986" s="8" t="s">
        <v>3475</v>
      </c>
      <c r="F986" s="8" t="s">
        <v>3476</v>
      </c>
      <c r="G986" s="6" t="s">
        <v>3477</v>
      </c>
      <c r="H986" s="6" t="s">
        <v>3036</v>
      </c>
      <c r="I986" s="6" t="s">
        <v>81</v>
      </c>
      <c r="J986" s="6" t="s">
        <v>122</v>
      </c>
      <c r="K986" s="6"/>
      <c r="L986" s="7" t="s">
        <v>40</v>
      </c>
      <c r="M986" s="6" t="s">
        <v>76</v>
      </c>
      <c r="N986" s="6"/>
      <c r="O986" s="6">
        <f>HYPERLINK("https://docs.wto.org/imrd/directdoc.asp?DDFDocuments/t/G/TBTN23/BDI404A1.DOCX", "https://docs.wto.org/imrd/directdoc.asp?DDFDocuments/t/G/TBTN23/BDI404A1.DOCX")</f>
      </c>
      <c r="P986" s="6">
        <f>HYPERLINK("https://docs.wto.org/imrd/directdoc.asp?DDFDocuments/u/G/TBTN23/BDI404A1.DOCX", "https://docs.wto.org/imrd/directdoc.asp?DDFDocuments/u/G/TBTN23/BDI404A1.DOCX")</f>
      </c>
      <c r="Q986" s="6">
        <f>HYPERLINK("https://docs.wto.org/imrd/directdoc.asp?DDFDocuments/v/G/TBTN23/BDI404A1.DOCX", "https://docs.wto.org/imrd/directdoc.asp?DDFDocuments/v/G/TBTN23/BDI404A1.DOCX")</f>
      </c>
    </row>
    <row r="987">
      <c r="A987" s="6" t="s">
        <v>17</v>
      </c>
      <c r="B987" s="7">
        <v>45496</v>
      </c>
      <c r="C987" s="6">
        <f>HYPERLINK("https://eping.wto.org/en/Search?viewData= G/TBT/N/BDI/317/Add.1, G/TBT/N/KEN/1366/Add.1, G/TBT/N/RWA/758/Add.1, G/TBT/N/TZA/881/Add.1, G/TBT/N/UGA/1728/Add.1"," G/TBT/N/BDI/317/Add.1, G/TBT/N/KEN/1366/Add.1, G/TBT/N/RWA/758/Add.1, G/TBT/N/TZA/881/Add.1, G/TBT/N/UGA/1728/Add.1")</f>
      </c>
      <c r="D987" s="8" t="s">
        <v>3478</v>
      </c>
      <c r="E987" s="8" t="s">
        <v>3479</v>
      </c>
      <c r="F987" s="8" t="s">
        <v>3332</v>
      </c>
      <c r="G987" s="6" t="s">
        <v>40</v>
      </c>
      <c r="H987" s="6" t="s">
        <v>932</v>
      </c>
      <c r="I987" s="6" t="s">
        <v>3407</v>
      </c>
      <c r="J987" s="6" t="s">
        <v>40</v>
      </c>
      <c r="K987" s="6"/>
      <c r="L987" s="7" t="s">
        <v>40</v>
      </c>
      <c r="M987" s="6" t="s">
        <v>76</v>
      </c>
      <c r="N987" s="6"/>
      <c r="O987" s="6">
        <f>HYPERLINK("https://docs.wto.org/imrd/directdoc.asp?DDFDocuments/t/G/TBTN23/BDI317A1.DOCX", "https://docs.wto.org/imrd/directdoc.asp?DDFDocuments/t/G/TBTN23/BDI317A1.DOCX")</f>
      </c>
      <c r="P987" s="6">
        <f>HYPERLINK("https://docs.wto.org/imrd/directdoc.asp?DDFDocuments/u/G/TBTN23/BDI317A1.DOCX", "https://docs.wto.org/imrd/directdoc.asp?DDFDocuments/u/G/TBTN23/BDI317A1.DOCX")</f>
      </c>
      <c r="Q987" s="6">
        <f>HYPERLINK("https://docs.wto.org/imrd/directdoc.asp?DDFDocuments/v/G/TBTN23/BDI317A1.DOCX", "https://docs.wto.org/imrd/directdoc.asp?DDFDocuments/v/G/TBTN23/BDI317A1.DOCX")</f>
      </c>
    </row>
    <row r="988">
      <c r="A988" s="6" t="s">
        <v>2030</v>
      </c>
      <c r="B988" s="7">
        <v>45496</v>
      </c>
      <c r="C988" s="6">
        <f>HYPERLINK("https://eping.wto.org/en/Search?viewData= G/TBT/N/BDI/326/Add.1, G/TBT/N/KEN/1388/Add.1, G/TBT/N/RWA/833/Add.1, G/TBT/N/TZA/912/Add.1, G/TBT/N/UGA/1741/Add.1"," G/TBT/N/BDI/326/Add.1, G/TBT/N/KEN/1388/Add.1, G/TBT/N/RWA/833/Add.1, G/TBT/N/TZA/912/Add.1, G/TBT/N/UGA/1741/Add.1")</f>
      </c>
      <c r="D988" s="8" t="s">
        <v>3456</v>
      </c>
      <c r="E988" s="8" t="s">
        <v>3457</v>
      </c>
      <c r="F988" s="8" t="s">
        <v>3339</v>
      </c>
      <c r="G988" s="6" t="s">
        <v>40</v>
      </c>
      <c r="H988" s="6" t="s">
        <v>363</v>
      </c>
      <c r="I988" s="6" t="s">
        <v>3334</v>
      </c>
      <c r="J988" s="6" t="s">
        <v>40</v>
      </c>
      <c r="K988" s="6"/>
      <c r="L988" s="7" t="s">
        <v>40</v>
      </c>
      <c r="M988" s="6" t="s">
        <v>76</v>
      </c>
      <c r="N988" s="6"/>
      <c r="O988" s="6">
        <f>HYPERLINK("https://docs.wto.org/imrd/directdoc.asp?DDFDocuments/t/G/TBTN23/BDI326A1.DOCX", "https://docs.wto.org/imrd/directdoc.asp?DDFDocuments/t/G/TBTN23/BDI326A1.DOCX")</f>
      </c>
      <c r="P988" s="6">
        <f>HYPERLINK("https://docs.wto.org/imrd/directdoc.asp?DDFDocuments/u/G/TBTN23/BDI326A1.DOCX", "https://docs.wto.org/imrd/directdoc.asp?DDFDocuments/u/G/TBTN23/BDI326A1.DOCX")</f>
      </c>
      <c r="Q988" s="6">
        <f>HYPERLINK("https://docs.wto.org/imrd/directdoc.asp?DDFDocuments/v/G/TBTN23/BDI326A1.DOCX", "https://docs.wto.org/imrd/directdoc.asp?DDFDocuments/v/G/TBTN23/BDI326A1.DOCX")</f>
      </c>
    </row>
    <row r="989">
      <c r="A989" s="6" t="s">
        <v>2041</v>
      </c>
      <c r="B989" s="7">
        <v>45496</v>
      </c>
      <c r="C989" s="6">
        <f>HYPERLINK("https://eping.wto.org/en/Search?viewData= G/TBT/N/BDI/315/Add.1, G/TBT/N/KEN/1364/Add.1, G/TBT/N/RWA/756/Add.1, G/TBT/N/TZA/879/Add.1, G/TBT/N/UGA/1726/Add.1"," G/TBT/N/BDI/315/Add.1, G/TBT/N/KEN/1364/Add.1, G/TBT/N/RWA/756/Add.1, G/TBT/N/TZA/879/Add.1, G/TBT/N/UGA/1726/Add.1")</f>
      </c>
      <c r="D989" s="8" t="s">
        <v>3458</v>
      </c>
      <c r="E989" s="8" t="s">
        <v>3459</v>
      </c>
      <c r="F989" s="8" t="s">
        <v>3332</v>
      </c>
      <c r="G989" s="6" t="s">
        <v>40</v>
      </c>
      <c r="H989" s="6" t="s">
        <v>932</v>
      </c>
      <c r="I989" s="6" t="s">
        <v>3334</v>
      </c>
      <c r="J989" s="6" t="s">
        <v>40</v>
      </c>
      <c r="K989" s="6"/>
      <c r="L989" s="7" t="s">
        <v>40</v>
      </c>
      <c r="M989" s="6" t="s">
        <v>76</v>
      </c>
      <c r="N989" s="6"/>
      <c r="O989" s="6">
        <f>HYPERLINK("https://docs.wto.org/imrd/directdoc.asp?DDFDocuments/t/G/TBTN23/BDI315A1.DOCX", "https://docs.wto.org/imrd/directdoc.asp?DDFDocuments/t/G/TBTN23/BDI315A1.DOCX")</f>
      </c>
      <c r="P989" s="6">
        <f>HYPERLINK("https://docs.wto.org/imrd/directdoc.asp?DDFDocuments/u/G/TBTN23/BDI315A1.DOCX", "https://docs.wto.org/imrd/directdoc.asp?DDFDocuments/u/G/TBTN23/BDI315A1.DOCX")</f>
      </c>
      <c r="Q989" s="6">
        <f>HYPERLINK("https://docs.wto.org/imrd/directdoc.asp?DDFDocuments/v/G/TBTN23/BDI315A1.DOCX", "https://docs.wto.org/imrd/directdoc.asp?DDFDocuments/v/G/TBTN23/BDI315A1.DOCX")</f>
      </c>
    </row>
    <row r="990">
      <c r="A990" s="6" t="s">
        <v>2024</v>
      </c>
      <c r="B990" s="7">
        <v>45496</v>
      </c>
      <c r="C990" s="6">
        <f>HYPERLINK("https://eping.wto.org/en/Search?viewData= G/TBT/N/BDI/317/Add.1, G/TBT/N/KEN/1366/Add.1, G/TBT/N/RWA/758/Add.1, G/TBT/N/TZA/881/Add.1, G/TBT/N/UGA/1728/Add.1"," G/TBT/N/BDI/317/Add.1, G/TBT/N/KEN/1366/Add.1, G/TBT/N/RWA/758/Add.1, G/TBT/N/TZA/881/Add.1, G/TBT/N/UGA/1728/Add.1")</f>
      </c>
      <c r="D990" s="8" t="s">
        <v>3478</v>
      </c>
      <c r="E990" s="8" t="s">
        <v>3479</v>
      </c>
      <c r="F990" s="8" t="s">
        <v>3332</v>
      </c>
      <c r="G990" s="6" t="s">
        <v>40</v>
      </c>
      <c r="H990" s="6" t="s">
        <v>932</v>
      </c>
      <c r="I990" s="6" t="s">
        <v>3334</v>
      </c>
      <c r="J990" s="6" t="s">
        <v>40</v>
      </c>
      <c r="K990" s="6"/>
      <c r="L990" s="7" t="s">
        <v>40</v>
      </c>
      <c r="M990" s="6" t="s">
        <v>76</v>
      </c>
      <c r="N990" s="6"/>
      <c r="O990" s="6">
        <f>HYPERLINK("https://docs.wto.org/imrd/directdoc.asp?DDFDocuments/t/G/TBTN23/BDI317A1.DOCX", "https://docs.wto.org/imrd/directdoc.asp?DDFDocuments/t/G/TBTN23/BDI317A1.DOCX")</f>
      </c>
      <c r="P990" s="6">
        <f>HYPERLINK("https://docs.wto.org/imrd/directdoc.asp?DDFDocuments/u/G/TBTN23/BDI317A1.DOCX", "https://docs.wto.org/imrd/directdoc.asp?DDFDocuments/u/G/TBTN23/BDI317A1.DOCX")</f>
      </c>
      <c r="Q990" s="6">
        <f>HYPERLINK("https://docs.wto.org/imrd/directdoc.asp?DDFDocuments/v/G/TBTN23/BDI317A1.DOCX", "https://docs.wto.org/imrd/directdoc.asp?DDFDocuments/v/G/TBTN23/BDI317A1.DOCX")</f>
      </c>
    </row>
    <row r="991">
      <c r="A991" s="6" t="s">
        <v>1650</v>
      </c>
      <c r="B991" s="7">
        <v>45496</v>
      </c>
      <c r="C991" s="6">
        <f>HYPERLINK("https://eping.wto.org/en/Search?viewData= G/TBT/N/URY/95"," G/TBT/N/URY/95")</f>
      </c>
      <c r="D991" s="8" t="s">
        <v>3480</v>
      </c>
      <c r="E991" s="8" t="s">
        <v>3481</v>
      </c>
      <c r="F991" s="8" t="s">
        <v>3482</v>
      </c>
      <c r="G991" s="6" t="s">
        <v>40</v>
      </c>
      <c r="H991" s="6" t="s">
        <v>3483</v>
      </c>
      <c r="I991" s="6" t="s">
        <v>379</v>
      </c>
      <c r="J991" s="6" t="s">
        <v>95</v>
      </c>
      <c r="K991" s="6"/>
      <c r="L991" s="7">
        <v>45556</v>
      </c>
      <c r="M991" s="6" t="s">
        <v>25</v>
      </c>
      <c r="N991" s="8" t="s">
        <v>3484</v>
      </c>
      <c r="O991" s="6">
        <f>HYPERLINK("https://docs.wto.org/imrd/directdoc.asp?DDFDocuments/t/G/TBTN24/URY95.DOCX", "https://docs.wto.org/imrd/directdoc.asp?DDFDocuments/t/G/TBTN24/URY95.DOCX")</f>
      </c>
      <c r="P991" s="6">
        <f>HYPERLINK("https://docs.wto.org/imrd/directdoc.asp?DDFDocuments/u/G/TBTN24/URY95.DOCX", "https://docs.wto.org/imrd/directdoc.asp?DDFDocuments/u/G/TBTN24/URY95.DOCX")</f>
      </c>
      <c r="Q991" s="6">
        <f>HYPERLINK("https://docs.wto.org/imrd/directdoc.asp?DDFDocuments/v/G/TBTN24/URY95.DOCX", "https://docs.wto.org/imrd/directdoc.asp?DDFDocuments/v/G/TBTN24/URY95.DOCX")</f>
      </c>
    </row>
    <row r="992">
      <c r="A992" s="6" t="s">
        <v>2024</v>
      </c>
      <c r="B992" s="7">
        <v>45496</v>
      </c>
      <c r="C992" s="6">
        <f>HYPERLINK("https://eping.wto.org/en/Search?viewData= G/TBT/N/BDI/325/Add.1, G/TBT/N/KEN/1387/Add.1, G/TBT/N/RWA/832/Add.1, G/TBT/N/TZA/911/Add.1, G/TBT/N/UGA/1740/Add.1"," G/TBT/N/BDI/325/Add.1, G/TBT/N/KEN/1387/Add.1, G/TBT/N/RWA/832/Add.1, G/TBT/N/TZA/911/Add.1, G/TBT/N/UGA/1740/Add.1")</f>
      </c>
      <c r="D992" s="8" t="s">
        <v>3485</v>
      </c>
      <c r="E992" s="8" t="s">
        <v>3486</v>
      </c>
      <c r="F992" s="8" t="s">
        <v>3339</v>
      </c>
      <c r="G992" s="6" t="s">
        <v>40</v>
      </c>
      <c r="H992" s="6" t="s">
        <v>363</v>
      </c>
      <c r="I992" s="6" t="s">
        <v>3334</v>
      </c>
      <c r="J992" s="6" t="s">
        <v>40</v>
      </c>
      <c r="K992" s="6"/>
      <c r="L992" s="7" t="s">
        <v>40</v>
      </c>
      <c r="M992" s="6" t="s">
        <v>76</v>
      </c>
      <c r="N992" s="6"/>
      <c r="O992" s="6">
        <f>HYPERLINK("https://docs.wto.org/imrd/directdoc.asp?DDFDocuments/t/G/TBTN23/BDI325A1.DOCX", "https://docs.wto.org/imrd/directdoc.asp?DDFDocuments/t/G/TBTN23/BDI325A1.DOCX")</f>
      </c>
      <c r="P992" s="6">
        <f>HYPERLINK("https://docs.wto.org/imrd/directdoc.asp?DDFDocuments/u/G/TBTN23/BDI325A1.DOCX", "https://docs.wto.org/imrd/directdoc.asp?DDFDocuments/u/G/TBTN23/BDI325A1.DOCX")</f>
      </c>
      <c r="Q992" s="6">
        <f>HYPERLINK("https://docs.wto.org/imrd/directdoc.asp?DDFDocuments/v/G/TBTN23/BDI325A1.DOCX", "https://docs.wto.org/imrd/directdoc.asp?DDFDocuments/v/G/TBTN23/BDI325A1.DOCX")</f>
      </c>
    </row>
    <row r="993">
      <c r="A993" s="6" t="s">
        <v>880</v>
      </c>
      <c r="B993" s="7">
        <v>45496</v>
      </c>
      <c r="C993" s="6">
        <f>HYPERLINK("https://eping.wto.org/en/Search?viewData= G/TBT/N/BDI/325/Add.1, G/TBT/N/KEN/1387/Add.1, G/TBT/N/RWA/832/Add.1, G/TBT/N/TZA/911/Add.1, G/TBT/N/UGA/1740/Add.1"," G/TBT/N/BDI/325/Add.1, G/TBT/N/KEN/1387/Add.1, G/TBT/N/RWA/832/Add.1, G/TBT/N/TZA/911/Add.1, G/TBT/N/UGA/1740/Add.1")</f>
      </c>
      <c r="D993" s="8" t="s">
        <v>3485</v>
      </c>
      <c r="E993" s="8" t="s">
        <v>3486</v>
      </c>
      <c r="F993" s="8" t="s">
        <v>3339</v>
      </c>
      <c r="G993" s="6" t="s">
        <v>40</v>
      </c>
      <c r="H993" s="6" t="s">
        <v>363</v>
      </c>
      <c r="I993" s="6" t="s">
        <v>3334</v>
      </c>
      <c r="J993" s="6" t="s">
        <v>40</v>
      </c>
      <c r="K993" s="6"/>
      <c r="L993" s="7" t="s">
        <v>40</v>
      </c>
      <c r="M993" s="6" t="s">
        <v>76</v>
      </c>
      <c r="N993" s="6"/>
      <c r="O993" s="6">
        <f>HYPERLINK("https://docs.wto.org/imrd/directdoc.asp?DDFDocuments/t/G/TBTN23/BDI325A1.DOCX", "https://docs.wto.org/imrd/directdoc.asp?DDFDocuments/t/G/TBTN23/BDI325A1.DOCX")</f>
      </c>
      <c r="P993" s="6">
        <f>HYPERLINK("https://docs.wto.org/imrd/directdoc.asp?DDFDocuments/u/G/TBTN23/BDI325A1.DOCX", "https://docs.wto.org/imrd/directdoc.asp?DDFDocuments/u/G/TBTN23/BDI325A1.DOCX")</f>
      </c>
      <c r="Q993" s="6">
        <f>HYPERLINK("https://docs.wto.org/imrd/directdoc.asp?DDFDocuments/v/G/TBTN23/BDI325A1.DOCX", "https://docs.wto.org/imrd/directdoc.asp?DDFDocuments/v/G/TBTN23/BDI325A1.DOCX")</f>
      </c>
    </row>
    <row r="994">
      <c r="A994" s="6" t="s">
        <v>2041</v>
      </c>
      <c r="B994" s="7">
        <v>45496</v>
      </c>
      <c r="C994" s="6">
        <f>HYPERLINK("https://eping.wto.org/en/Search?viewData= G/TBT/N/BDI/316/Add.1, G/TBT/N/KEN/1365/Add.1, G/TBT/N/RWA/757/Add.1, G/TBT/N/TZA/880/Add.1, G/TBT/N/UGA/1727/Add.1"," G/TBT/N/BDI/316/Add.1, G/TBT/N/KEN/1365/Add.1, G/TBT/N/RWA/757/Add.1, G/TBT/N/TZA/880/Add.1, G/TBT/N/UGA/1727/Add.1")</f>
      </c>
      <c r="D994" s="8" t="s">
        <v>3487</v>
      </c>
      <c r="E994" s="8" t="s">
        <v>3488</v>
      </c>
      <c r="F994" s="8" t="s">
        <v>3332</v>
      </c>
      <c r="G994" s="6" t="s">
        <v>3489</v>
      </c>
      <c r="H994" s="6" t="s">
        <v>3490</v>
      </c>
      <c r="I994" s="6" t="s">
        <v>3334</v>
      </c>
      <c r="J994" s="6" t="s">
        <v>40</v>
      </c>
      <c r="K994" s="6"/>
      <c r="L994" s="7" t="s">
        <v>40</v>
      </c>
      <c r="M994" s="6" t="s">
        <v>76</v>
      </c>
      <c r="N994" s="6"/>
      <c r="O994" s="6">
        <f>HYPERLINK("https://docs.wto.org/imrd/directdoc.asp?DDFDocuments/t/G/TBTN23/BDI316A1.DOCX", "https://docs.wto.org/imrd/directdoc.asp?DDFDocuments/t/G/TBTN23/BDI316A1.DOCX")</f>
      </c>
      <c r="P994" s="6">
        <f>HYPERLINK("https://docs.wto.org/imrd/directdoc.asp?DDFDocuments/u/G/TBTN23/BDI316A1.DOCX", "https://docs.wto.org/imrd/directdoc.asp?DDFDocuments/u/G/TBTN23/BDI316A1.DOCX")</f>
      </c>
      <c r="Q994" s="6">
        <f>HYPERLINK("https://docs.wto.org/imrd/directdoc.asp?DDFDocuments/v/G/TBTN23/BDI316A1.DOCX", "https://docs.wto.org/imrd/directdoc.asp?DDFDocuments/v/G/TBTN23/BDI316A1.DOCX")</f>
      </c>
    </row>
    <row r="995">
      <c r="A995" s="6" t="s">
        <v>2024</v>
      </c>
      <c r="B995" s="7">
        <v>45496</v>
      </c>
      <c r="C995" s="6">
        <f>HYPERLINK("https://eping.wto.org/en/Search?viewData= G/TBT/N/BDI/403/Add.1, G/TBT/N/KEN/1498/Add.1, G/TBT/N/RWA/927/Add.1, G/TBT/N/TZA/1031/Add.1, G/TBT/N/UGA/1838/Add.1"," G/TBT/N/BDI/403/Add.1, G/TBT/N/KEN/1498/Add.1, G/TBT/N/RWA/927/Add.1, G/TBT/N/TZA/1031/Add.1, G/TBT/N/UGA/1838/Add.1")</f>
      </c>
      <c r="D995" s="8" t="s">
        <v>3460</v>
      </c>
      <c r="E995" s="8" t="s">
        <v>3461</v>
      </c>
      <c r="F995" s="8" t="s">
        <v>3462</v>
      </c>
      <c r="G995" s="6" t="s">
        <v>3463</v>
      </c>
      <c r="H995" s="6" t="s">
        <v>3036</v>
      </c>
      <c r="I995" s="6" t="s">
        <v>3280</v>
      </c>
      <c r="J995" s="6" t="s">
        <v>122</v>
      </c>
      <c r="K995" s="6"/>
      <c r="L995" s="7" t="s">
        <v>40</v>
      </c>
      <c r="M995" s="6" t="s">
        <v>76</v>
      </c>
      <c r="N995" s="6"/>
      <c r="O995" s="6">
        <f>HYPERLINK("https://docs.wto.org/imrd/directdoc.asp?DDFDocuments/t/G/TBTN23/BDI403A1.DOCX", "https://docs.wto.org/imrd/directdoc.asp?DDFDocuments/t/G/TBTN23/BDI403A1.DOCX")</f>
      </c>
      <c r="P995" s="6"/>
      <c r="Q995" s="6"/>
    </row>
    <row r="996">
      <c r="A996" s="6" t="s">
        <v>880</v>
      </c>
      <c r="B996" s="7">
        <v>45496</v>
      </c>
      <c r="C996" s="6">
        <f>HYPERLINK("https://eping.wto.org/en/Search?viewData= G/TBT/N/BDI/317/Add.1, G/TBT/N/KEN/1366/Add.1, G/TBT/N/RWA/758/Add.1, G/TBT/N/TZA/881/Add.1, G/TBT/N/UGA/1728/Add.1"," G/TBT/N/BDI/317/Add.1, G/TBT/N/KEN/1366/Add.1, G/TBT/N/RWA/758/Add.1, G/TBT/N/TZA/881/Add.1, G/TBT/N/UGA/1728/Add.1")</f>
      </c>
      <c r="D996" s="8" t="s">
        <v>3478</v>
      </c>
      <c r="E996" s="8" t="s">
        <v>3479</v>
      </c>
      <c r="F996" s="8" t="s">
        <v>3332</v>
      </c>
      <c r="G996" s="6" t="s">
        <v>40</v>
      </c>
      <c r="H996" s="6" t="s">
        <v>932</v>
      </c>
      <c r="I996" s="6" t="s">
        <v>3334</v>
      </c>
      <c r="J996" s="6" t="s">
        <v>40</v>
      </c>
      <c r="K996" s="6"/>
      <c r="L996" s="7" t="s">
        <v>40</v>
      </c>
      <c r="M996" s="6" t="s">
        <v>76</v>
      </c>
      <c r="N996" s="6"/>
      <c r="O996" s="6">
        <f>HYPERLINK("https://docs.wto.org/imrd/directdoc.asp?DDFDocuments/t/G/TBTN23/BDI317A1.DOCX", "https://docs.wto.org/imrd/directdoc.asp?DDFDocuments/t/G/TBTN23/BDI317A1.DOCX")</f>
      </c>
      <c r="P996" s="6">
        <f>HYPERLINK("https://docs.wto.org/imrd/directdoc.asp?DDFDocuments/u/G/TBTN23/BDI317A1.DOCX", "https://docs.wto.org/imrd/directdoc.asp?DDFDocuments/u/G/TBTN23/BDI317A1.DOCX")</f>
      </c>
      <c r="Q996" s="6">
        <f>HYPERLINK("https://docs.wto.org/imrd/directdoc.asp?DDFDocuments/v/G/TBTN23/BDI317A1.DOCX", "https://docs.wto.org/imrd/directdoc.asp?DDFDocuments/v/G/TBTN23/BDI317A1.DOCX")</f>
      </c>
    </row>
    <row r="997">
      <c r="A997" s="6" t="s">
        <v>2030</v>
      </c>
      <c r="B997" s="7">
        <v>45496</v>
      </c>
      <c r="C997" s="6">
        <f>HYPERLINK("https://eping.wto.org/en/Search?viewData= G/TBT/N/BDI/298/Add.1, G/TBT/N/KEN/1333/Add.1, G/TBT/N/RWA/740/Add.1, G/TBT/N/TZA/858/Add.1, G/TBT/N/UGA/1707/Add.1"," G/TBT/N/BDI/298/Add.1, G/TBT/N/KEN/1333/Add.1, G/TBT/N/RWA/740/Add.1, G/TBT/N/TZA/858/Add.1, G/TBT/N/UGA/1707/Add.1")</f>
      </c>
      <c r="D997" s="8" t="s">
        <v>3464</v>
      </c>
      <c r="E997" s="8" t="s">
        <v>3465</v>
      </c>
      <c r="F997" s="8" t="s">
        <v>3466</v>
      </c>
      <c r="G997" s="6" t="s">
        <v>3467</v>
      </c>
      <c r="H997" s="6" t="s">
        <v>3468</v>
      </c>
      <c r="I997" s="6" t="s">
        <v>2392</v>
      </c>
      <c r="J997" s="6" t="s">
        <v>40</v>
      </c>
      <c r="K997" s="6"/>
      <c r="L997" s="7" t="s">
        <v>40</v>
      </c>
      <c r="M997" s="6" t="s">
        <v>76</v>
      </c>
      <c r="N997" s="6"/>
      <c r="O997" s="6">
        <f>HYPERLINK("https://docs.wto.org/imrd/directdoc.asp?DDFDocuments/t/G/TBTN22/BDI298A1.DOCX", "https://docs.wto.org/imrd/directdoc.asp?DDFDocuments/t/G/TBTN22/BDI298A1.DOCX")</f>
      </c>
      <c r="P997" s="6">
        <f>HYPERLINK("https://docs.wto.org/imrd/directdoc.asp?DDFDocuments/u/G/TBTN22/BDI298A1.DOCX", "https://docs.wto.org/imrd/directdoc.asp?DDFDocuments/u/G/TBTN22/BDI298A1.DOCX")</f>
      </c>
      <c r="Q997" s="6">
        <f>HYPERLINK("https://docs.wto.org/imrd/directdoc.asp?DDFDocuments/v/G/TBTN22/BDI298A1.DOCX", "https://docs.wto.org/imrd/directdoc.asp?DDFDocuments/v/G/TBTN22/BDI298A1.DOCX")</f>
      </c>
    </row>
    <row r="998">
      <c r="A998" s="6" t="s">
        <v>880</v>
      </c>
      <c r="B998" s="7">
        <v>45496</v>
      </c>
      <c r="C998" s="6">
        <f>HYPERLINK("https://eping.wto.org/en/Search?viewData= G/TBT/N/BDI/298/Add.1, G/TBT/N/KEN/1333/Add.1, G/TBT/N/RWA/740/Add.1, G/TBT/N/TZA/858/Add.1, G/TBT/N/UGA/1707/Add.1"," G/TBT/N/BDI/298/Add.1, G/TBT/N/KEN/1333/Add.1, G/TBT/N/RWA/740/Add.1, G/TBT/N/TZA/858/Add.1, G/TBT/N/UGA/1707/Add.1")</f>
      </c>
      <c r="D998" s="8" t="s">
        <v>3464</v>
      </c>
      <c r="E998" s="8" t="s">
        <v>3465</v>
      </c>
      <c r="F998" s="8" t="s">
        <v>3466</v>
      </c>
      <c r="G998" s="6" t="s">
        <v>3467</v>
      </c>
      <c r="H998" s="6" t="s">
        <v>3468</v>
      </c>
      <c r="I998" s="6" t="s">
        <v>2392</v>
      </c>
      <c r="J998" s="6" t="s">
        <v>40</v>
      </c>
      <c r="K998" s="6"/>
      <c r="L998" s="7" t="s">
        <v>40</v>
      </c>
      <c r="M998" s="6" t="s">
        <v>76</v>
      </c>
      <c r="N998" s="6"/>
      <c r="O998" s="6">
        <f>HYPERLINK("https://docs.wto.org/imrd/directdoc.asp?DDFDocuments/t/G/TBTN22/BDI298A1.DOCX", "https://docs.wto.org/imrd/directdoc.asp?DDFDocuments/t/G/TBTN22/BDI298A1.DOCX")</f>
      </c>
      <c r="P998" s="6">
        <f>HYPERLINK("https://docs.wto.org/imrd/directdoc.asp?DDFDocuments/u/G/TBTN22/BDI298A1.DOCX", "https://docs.wto.org/imrd/directdoc.asp?DDFDocuments/u/G/TBTN22/BDI298A1.DOCX")</f>
      </c>
      <c r="Q998" s="6">
        <f>HYPERLINK("https://docs.wto.org/imrd/directdoc.asp?DDFDocuments/v/G/TBTN22/BDI298A1.DOCX", "https://docs.wto.org/imrd/directdoc.asp?DDFDocuments/v/G/TBTN22/BDI298A1.DOCX")</f>
      </c>
    </row>
    <row r="999">
      <c r="A999" s="6" t="s">
        <v>198</v>
      </c>
      <c r="B999" s="7">
        <v>45496</v>
      </c>
      <c r="C999" s="6">
        <f>HYPERLINK("https://eping.wto.org/en/Search?viewData= G/TBT/N/CHL/692"," G/TBT/N/CHL/692")</f>
      </c>
      <c r="D999" s="8" t="s">
        <v>3491</v>
      </c>
      <c r="E999" s="8" t="s">
        <v>3492</v>
      </c>
      <c r="F999" s="8" t="s">
        <v>3493</v>
      </c>
      <c r="G999" s="6" t="s">
        <v>40</v>
      </c>
      <c r="H999" s="6" t="s">
        <v>3494</v>
      </c>
      <c r="I999" s="6" t="s">
        <v>147</v>
      </c>
      <c r="J999" s="6" t="s">
        <v>40</v>
      </c>
      <c r="K999" s="6"/>
      <c r="L999" s="7">
        <v>45556</v>
      </c>
      <c r="M999" s="6" t="s">
        <v>25</v>
      </c>
      <c r="N999" s="8" t="s">
        <v>3495</v>
      </c>
      <c r="O999" s="6">
        <f>HYPERLINK("https://docs.wto.org/imrd/directdoc.asp?DDFDocuments/t/G/TBTN24/CHL692.DOCX", "https://docs.wto.org/imrd/directdoc.asp?DDFDocuments/t/G/TBTN24/CHL692.DOCX")</f>
      </c>
      <c r="P999" s="6">
        <f>HYPERLINK("https://docs.wto.org/imrd/directdoc.asp?DDFDocuments/u/G/TBTN24/CHL692.DOCX", "https://docs.wto.org/imrd/directdoc.asp?DDFDocuments/u/G/TBTN24/CHL692.DOCX")</f>
      </c>
      <c r="Q999" s="6">
        <f>HYPERLINK("https://docs.wto.org/imrd/directdoc.asp?DDFDocuments/v/G/TBTN24/CHL692.DOCX", "https://docs.wto.org/imrd/directdoc.asp?DDFDocuments/v/G/TBTN24/CHL692.DOCX")</f>
      </c>
    </row>
    <row r="1000">
      <c r="A1000" s="6" t="s">
        <v>198</v>
      </c>
      <c r="B1000" s="7">
        <v>45496</v>
      </c>
      <c r="C1000" s="6">
        <f>HYPERLINK("https://eping.wto.org/en/Search?viewData= G/TBT/N/CHL/693"," G/TBT/N/CHL/693")</f>
      </c>
      <c r="D1000" s="8" t="s">
        <v>3496</v>
      </c>
      <c r="E1000" s="8" t="s">
        <v>3497</v>
      </c>
      <c r="F1000" s="8" t="s">
        <v>3498</v>
      </c>
      <c r="G1000" s="6" t="s">
        <v>40</v>
      </c>
      <c r="H1000" s="6" t="s">
        <v>3499</v>
      </c>
      <c r="I1000" s="6" t="s">
        <v>147</v>
      </c>
      <c r="J1000" s="6" t="s">
        <v>40</v>
      </c>
      <c r="K1000" s="6"/>
      <c r="L1000" s="7">
        <v>45556</v>
      </c>
      <c r="M1000" s="6" t="s">
        <v>25</v>
      </c>
      <c r="N1000" s="8" t="s">
        <v>3500</v>
      </c>
      <c r="O1000" s="6">
        <f>HYPERLINK("https://docs.wto.org/imrd/directdoc.asp?DDFDocuments/t/G/TBTN24/CHL693.DOCX", "https://docs.wto.org/imrd/directdoc.asp?DDFDocuments/t/G/TBTN24/CHL693.DOCX")</f>
      </c>
      <c r="P1000" s="6">
        <f>HYPERLINK("https://docs.wto.org/imrd/directdoc.asp?DDFDocuments/u/G/TBTN24/CHL693.DOCX", "https://docs.wto.org/imrd/directdoc.asp?DDFDocuments/u/G/TBTN24/CHL693.DOCX")</f>
      </c>
      <c r="Q1000" s="6">
        <f>HYPERLINK("https://docs.wto.org/imrd/directdoc.asp?DDFDocuments/v/G/TBTN24/CHL693.DOCX", "https://docs.wto.org/imrd/directdoc.asp?DDFDocuments/v/G/TBTN24/CHL693.DOCX")</f>
      </c>
    </row>
    <row r="1001">
      <c r="A1001" s="6" t="s">
        <v>198</v>
      </c>
      <c r="B1001" s="7">
        <v>45496</v>
      </c>
      <c r="C1001" s="6">
        <f>HYPERLINK("https://eping.wto.org/en/Search?viewData= G/TBT/N/CHL/694"," G/TBT/N/CHL/694")</f>
      </c>
      <c r="D1001" s="8" t="s">
        <v>3501</v>
      </c>
      <c r="E1001" s="8" t="s">
        <v>3502</v>
      </c>
      <c r="F1001" s="8" t="s">
        <v>3503</v>
      </c>
      <c r="G1001" s="6" t="s">
        <v>40</v>
      </c>
      <c r="H1001" s="6" t="s">
        <v>3504</v>
      </c>
      <c r="I1001" s="6" t="s">
        <v>147</v>
      </c>
      <c r="J1001" s="6" t="s">
        <v>40</v>
      </c>
      <c r="K1001" s="6"/>
      <c r="L1001" s="7">
        <v>45556</v>
      </c>
      <c r="M1001" s="6" t="s">
        <v>25</v>
      </c>
      <c r="N1001" s="8" t="s">
        <v>3505</v>
      </c>
      <c r="O1001" s="6">
        <f>HYPERLINK("https://docs.wto.org/imrd/directdoc.asp?DDFDocuments/t/G/TBTN24/CHL694.DOCX", "https://docs.wto.org/imrd/directdoc.asp?DDFDocuments/t/G/TBTN24/CHL694.DOCX")</f>
      </c>
      <c r="P1001" s="6">
        <f>HYPERLINK("https://docs.wto.org/imrd/directdoc.asp?DDFDocuments/u/G/TBTN24/CHL694.DOCX", "https://docs.wto.org/imrd/directdoc.asp?DDFDocuments/u/G/TBTN24/CHL694.DOCX")</f>
      </c>
      <c r="Q1001" s="6">
        <f>HYPERLINK("https://docs.wto.org/imrd/directdoc.asp?DDFDocuments/v/G/TBTN24/CHL694.DOCX", "https://docs.wto.org/imrd/directdoc.asp?DDFDocuments/v/G/TBTN24/CHL694.DOCX")</f>
      </c>
    </row>
    <row r="1002">
      <c r="A1002" s="6" t="s">
        <v>2041</v>
      </c>
      <c r="B1002" s="7">
        <v>45496</v>
      </c>
      <c r="C1002" s="6">
        <f>HYPERLINK("https://eping.wto.org/en/Search?viewData= G/TBT/N/BDI/403/Add.1, G/TBT/N/KEN/1498/Add.1, G/TBT/N/RWA/927/Add.1, G/TBT/N/TZA/1031/Add.1, G/TBT/N/UGA/1838/Add.1"," G/TBT/N/BDI/403/Add.1, G/TBT/N/KEN/1498/Add.1, G/TBT/N/RWA/927/Add.1, G/TBT/N/TZA/1031/Add.1, G/TBT/N/UGA/1838/Add.1")</f>
      </c>
      <c r="D1002" s="8" t="s">
        <v>3460</v>
      </c>
      <c r="E1002" s="8" t="s">
        <v>3461</v>
      </c>
      <c r="F1002" s="8" t="s">
        <v>3462</v>
      </c>
      <c r="G1002" s="6" t="s">
        <v>3463</v>
      </c>
      <c r="H1002" s="6" t="s">
        <v>3036</v>
      </c>
      <c r="I1002" s="6" t="s">
        <v>3280</v>
      </c>
      <c r="J1002" s="6" t="s">
        <v>122</v>
      </c>
      <c r="K1002" s="6"/>
      <c r="L1002" s="7" t="s">
        <v>40</v>
      </c>
      <c r="M1002" s="6" t="s">
        <v>76</v>
      </c>
      <c r="N1002" s="6"/>
      <c r="O1002" s="6">
        <f>HYPERLINK("https://docs.wto.org/imrd/directdoc.asp?DDFDocuments/t/G/TBTN23/BDI403A1.DOCX", "https://docs.wto.org/imrd/directdoc.asp?DDFDocuments/t/G/TBTN23/BDI403A1.DOCX")</f>
      </c>
      <c r="P1002" s="6"/>
      <c r="Q1002" s="6"/>
    </row>
    <row r="1003">
      <c r="A1003" s="6" t="s">
        <v>2024</v>
      </c>
      <c r="B1003" s="7">
        <v>45496</v>
      </c>
      <c r="C1003" s="6">
        <f>HYPERLINK("https://eping.wto.org/en/Search?viewData= G/TBT/N/BDI/404/Add.1, G/TBT/N/KEN/1499/Add.1, G/TBT/N/RWA/928/Add.1, G/TBT/N/TZA/1032/Add.1, G/TBT/N/UGA/1839/Add.1"," G/TBT/N/BDI/404/Add.1, G/TBT/N/KEN/1499/Add.1, G/TBT/N/RWA/928/Add.1, G/TBT/N/TZA/1032/Add.1, G/TBT/N/UGA/1839/Add.1")</f>
      </c>
      <c r="D1003" s="8" t="s">
        <v>3474</v>
      </c>
      <c r="E1003" s="8" t="s">
        <v>3475</v>
      </c>
      <c r="F1003" s="8" t="s">
        <v>3476</v>
      </c>
      <c r="G1003" s="6" t="s">
        <v>3477</v>
      </c>
      <c r="H1003" s="6" t="s">
        <v>3036</v>
      </c>
      <c r="I1003" s="6" t="s">
        <v>3280</v>
      </c>
      <c r="J1003" s="6" t="s">
        <v>122</v>
      </c>
      <c r="K1003" s="6"/>
      <c r="L1003" s="7" t="s">
        <v>40</v>
      </c>
      <c r="M1003" s="6" t="s">
        <v>76</v>
      </c>
      <c r="N1003" s="6"/>
      <c r="O1003" s="6">
        <f>HYPERLINK("https://docs.wto.org/imrd/directdoc.asp?DDFDocuments/t/G/TBTN23/BDI404A1.DOCX", "https://docs.wto.org/imrd/directdoc.asp?DDFDocuments/t/G/TBTN23/BDI404A1.DOCX")</f>
      </c>
      <c r="P1003" s="6">
        <f>HYPERLINK("https://docs.wto.org/imrd/directdoc.asp?DDFDocuments/u/G/TBTN23/BDI404A1.DOCX", "https://docs.wto.org/imrd/directdoc.asp?DDFDocuments/u/G/TBTN23/BDI404A1.DOCX")</f>
      </c>
      <c r="Q1003" s="6">
        <f>HYPERLINK("https://docs.wto.org/imrd/directdoc.asp?DDFDocuments/v/G/TBTN23/BDI404A1.DOCX", "https://docs.wto.org/imrd/directdoc.asp?DDFDocuments/v/G/TBTN23/BDI404A1.DOCX")</f>
      </c>
    </row>
    <row r="1004">
      <c r="A1004" s="6" t="s">
        <v>880</v>
      </c>
      <c r="B1004" s="7">
        <v>45496</v>
      </c>
      <c r="C1004" s="6">
        <f>HYPERLINK("https://eping.wto.org/en/Search?viewData= G/TBT/N/BDI/356/Add.1, G/TBT/N/KEN/1436/Add.1, G/TBT/N/RWA/867/Add.1, G/TBT/N/TZA/970/Add.1, G/TBT/N/UGA/1772/Add.1"," G/TBT/N/BDI/356/Add.1, G/TBT/N/KEN/1436/Add.1, G/TBT/N/RWA/867/Add.1, G/TBT/N/TZA/970/Add.1, G/TBT/N/UGA/1772/Add.1")</f>
      </c>
      <c r="D1004" s="8" t="s">
        <v>3454</v>
      </c>
      <c r="E1004" s="8" t="s">
        <v>3455</v>
      </c>
      <c r="F1004" s="8" t="s">
        <v>3375</v>
      </c>
      <c r="G1004" s="6" t="s">
        <v>40</v>
      </c>
      <c r="H1004" s="6" t="s">
        <v>841</v>
      </c>
      <c r="I1004" s="6" t="s">
        <v>3334</v>
      </c>
      <c r="J1004" s="6" t="s">
        <v>40</v>
      </c>
      <c r="K1004" s="6"/>
      <c r="L1004" s="7" t="s">
        <v>40</v>
      </c>
      <c r="M1004" s="6" t="s">
        <v>76</v>
      </c>
      <c r="N1004" s="6"/>
      <c r="O1004" s="6">
        <f>HYPERLINK("https://docs.wto.org/imrd/directdoc.asp?DDFDocuments/t/G/TBTN23/BDI356A1.DOCX", "https://docs.wto.org/imrd/directdoc.asp?DDFDocuments/t/G/TBTN23/BDI356A1.DOCX")</f>
      </c>
      <c r="P1004" s="6">
        <f>HYPERLINK("https://docs.wto.org/imrd/directdoc.asp?DDFDocuments/u/G/TBTN23/BDI356A1.DOCX", "https://docs.wto.org/imrd/directdoc.asp?DDFDocuments/u/G/TBTN23/BDI356A1.DOCX")</f>
      </c>
      <c r="Q1004" s="6">
        <f>HYPERLINK("https://docs.wto.org/imrd/directdoc.asp?DDFDocuments/v/G/TBTN23/BDI356A1.DOCX", "https://docs.wto.org/imrd/directdoc.asp?DDFDocuments/v/G/TBTN23/BDI356A1.DOCX")</f>
      </c>
    </row>
    <row r="1005">
      <c r="A1005" s="6" t="s">
        <v>307</v>
      </c>
      <c r="B1005" s="7">
        <v>45496</v>
      </c>
      <c r="C1005" s="6">
        <f>HYPERLINK("https://eping.wto.org/en/Search?viewData= G/TBT/N/CAN/705/Add.1"," G/TBT/N/CAN/705/Add.1")</f>
      </c>
      <c r="D1005" s="8" t="s">
        <v>3506</v>
      </c>
      <c r="E1005" s="8" t="s">
        <v>3507</v>
      </c>
      <c r="F1005" s="8" t="s">
        <v>3508</v>
      </c>
      <c r="G1005" s="6" t="s">
        <v>40</v>
      </c>
      <c r="H1005" s="6" t="s">
        <v>270</v>
      </c>
      <c r="I1005" s="6" t="s">
        <v>191</v>
      </c>
      <c r="J1005" s="6" t="s">
        <v>122</v>
      </c>
      <c r="K1005" s="6"/>
      <c r="L1005" s="7" t="s">
        <v>40</v>
      </c>
      <c r="M1005" s="6" t="s">
        <v>76</v>
      </c>
      <c r="N1005" s="8" t="s">
        <v>3509</v>
      </c>
      <c r="O1005" s="6">
        <f>HYPERLINK("https://docs.wto.org/imrd/directdoc.asp?DDFDocuments/t/G/TBTN23/CAN705A1.DOCX", "https://docs.wto.org/imrd/directdoc.asp?DDFDocuments/t/G/TBTN23/CAN705A1.DOCX")</f>
      </c>
      <c r="P1005" s="6">
        <f>HYPERLINK("https://docs.wto.org/imrd/directdoc.asp?DDFDocuments/u/G/TBTN23/CAN705A1.DOCX", "https://docs.wto.org/imrd/directdoc.asp?DDFDocuments/u/G/TBTN23/CAN705A1.DOCX")</f>
      </c>
      <c r="Q1005" s="6">
        <f>HYPERLINK("https://docs.wto.org/imrd/directdoc.asp?DDFDocuments/v/G/TBTN23/CAN705A1.DOCX", "https://docs.wto.org/imrd/directdoc.asp?DDFDocuments/v/G/TBTN23/CAN705A1.DOCX")</f>
      </c>
    </row>
    <row r="1006">
      <c r="A1006" s="6" t="s">
        <v>17</v>
      </c>
      <c r="B1006" s="7">
        <v>45496</v>
      </c>
      <c r="C1006" s="6">
        <f>HYPERLINK("https://eping.wto.org/en/Search?viewData= G/TBT/N/BDI/356/Add.1, G/TBT/N/KEN/1436/Add.1, G/TBT/N/RWA/867/Add.1, G/TBT/N/TZA/970/Add.1, G/TBT/N/UGA/1772/Add.1"," G/TBT/N/BDI/356/Add.1, G/TBT/N/KEN/1436/Add.1, G/TBT/N/RWA/867/Add.1, G/TBT/N/TZA/970/Add.1, G/TBT/N/UGA/1772/Add.1")</f>
      </c>
      <c r="D1006" s="8" t="s">
        <v>3454</v>
      </c>
      <c r="E1006" s="8" t="s">
        <v>3455</v>
      </c>
      <c r="F1006" s="8" t="s">
        <v>3375</v>
      </c>
      <c r="G1006" s="6" t="s">
        <v>40</v>
      </c>
      <c r="H1006" s="6" t="s">
        <v>841</v>
      </c>
      <c r="I1006" s="6" t="s">
        <v>3407</v>
      </c>
      <c r="J1006" s="6" t="s">
        <v>40</v>
      </c>
      <c r="K1006" s="6"/>
      <c r="L1006" s="7" t="s">
        <v>40</v>
      </c>
      <c r="M1006" s="6" t="s">
        <v>76</v>
      </c>
      <c r="N1006" s="6"/>
      <c r="O1006" s="6">
        <f>HYPERLINK("https://docs.wto.org/imrd/directdoc.asp?DDFDocuments/t/G/TBTN23/BDI356A1.DOCX", "https://docs.wto.org/imrd/directdoc.asp?DDFDocuments/t/G/TBTN23/BDI356A1.DOCX")</f>
      </c>
      <c r="P1006" s="6">
        <f>HYPERLINK("https://docs.wto.org/imrd/directdoc.asp?DDFDocuments/u/G/TBTN23/BDI356A1.DOCX", "https://docs.wto.org/imrd/directdoc.asp?DDFDocuments/u/G/TBTN23/BDI356A1.DOCX")</f>
      </c>
      <c r="Q1006" s="6">
        <f>HYPERLINK("https://docs.wto.org/imrd/directdoc.asp?DDFDocuments/v/G/TBTN23/BDI356A1.DOCX", "https://docs.wto.org/imrd/directdoc.asp?DDFDocuments/v/G/TBTN23/BDI356A1.DOCX")</f>
      </c>
    </row>
    <row r="1007">
      <c r="A1007" s="6" t="s">
        <v>17</v>
      </c>
      <c r="B1007" s="7">
        <v>45496</v>
      </c>
      <c r="C1007" s="6">
        <f>HYPERLINK("https://eping.wto.org/en/Search?viewData= G/TBT/N/BDI/296/Add.1, G/TBT/N/KEN/1331/Add.1, G/TBT/N/RWA/738/Add.1, G/TBT/N/TZA/856/Add.1, G/TBT/N/UGA/1705/Add.1"," G/TBT/N/BDI/296/Add.1, G/TBT/N/KEN/1331/Add.1, G/TBT/N/RWA/738/Add.1, G/TBT/N/TZA/856/Add.1, G/TBT/N/UGA/1705/Add.1")</f>
      </c>
      <c r="D1007" s="8" t="s">
        <v>3451</v>
      </c>
      <c r="E1007" s="8" t="s">
        <v>3452</v>
      </c>
      <c r="F1007" s="8" t="s">
        <v>3332</v>
      </c>
      <c r="G1007" s="6" t="s">
        <v>40</v>
      </c>
      <c r="H1007" s="6" t="s">
        <v>932</v>
      </c>
      <c r="I1007" s="6" t="s">
        <v>2168</v>
      </c>
      <c r="J1007" s="6" t="s">
        <v>40</v>
      </c>
      <c r="K1007" s="6"/>
      <c r="L1007" s="7" t="s">
        <v>40</v>
      </c>
      <c r="M1007" s="6" t="s">
        <v>76</v>
      </c>
      <c r="N1007" s="6"/>
      <c r="O1007" s="6">
        <f>HYPERLINK("https://docs.wto.org/imrd/directdoc.asp?DDFDocuments/t/G/TBTN22/BDI296A1.DOCX", "https://docs.wto.org/imrd/directdoc.asp?DDFDocuments/t/G/TBTN22/BDI296A1.DOCX")</f>
      </c>
      <c r="P1007" s="6">
        <f>HYPERLINK("https://docs.wto.org/imrd/directdoc.asp?DDFDocuments/u/G/TBTN22/BDI296A1.DOCX", "https://docs.wto.org/imrd/directdoc.asp?DDFDocuments/u/G/TBTN22/BDI296A1.DOCX")</f>
      </c>
      <c r="Q1007" s="6">
        <f>HYPERLINK("https://docs.wto.org/imrd/directdoc.asp?DDFDocuments/v/G/TBTN22/BDI296A1.DOCX", "https://docs.wto.org/imrd/directdoc.asp?DDFDocuments/v/G/TBTN22/BDI296A1.DOCX")</f>
      </c>
    </row>
    <row r="1008">
      <c r="A1008" s="6" t="s">
        <v>17</v>
      </c>
      <c r="B1008" s="7">
        <v>45496</v>
      </c>
      <c r="C1008" s="6">
        <f>HYPERLINK("https://eping.wto.org/en/Search?viewData= G/TBT/N/BDI/325/Add.1, G/TBT/N/KEN/1387/Add.1, G/TBT/N/RWA/832/Add.1, G/TBT/N/TZA/911/Add.1, G/TBT/N/UGA/1740/Add.1"," G/TBT/N/BDI/325/Add.1, G/TBT/N/KEN/1387/Add.1, G/TBT/N/RWA/832/Add.1, G/TBT/N/TZA/911/Add.1, G/TBT/N/UGA/1740/Add.1")</f>
      </c>
      <c r="D1008" s="8" t="s">
        <v>3485</v>
      </c>
      <c r="E1008" s="8" t="s">
        <v>3486</v>
      </c>
      <c r="F1008" s="8" t="s">
        <v>3339</v>
      </c>
      <c r="G1008" s="6" t="s">
        <v>40</v>
      </c>
      <c r="H1008" s="6" t="s">
        <v>363</v>
      </c>
      <c r="I1008" s="6" t="s">
        <v>3407</v>
      </c>
      <c r="J1008" s="6" t="s">
        <v>40</v>
      </c>
      <c r="K1008" s="6"/>
      <c r="L1008" s="7" t="s">
        <v>40</v>
      </c>
      <c r="M1008" s="6" t="s">
        <v>76</v>
      </c>
      <c r="N1008" s="6"/>
      <c r="O1008" s="6">
        <f>HYPERLINK("https://docs.wto.org/imrd/directdoc.asp?DDFDocuments/t/G/TBTN23/BDI325A1.DOCX", "https://docs.wto.org/imrd/directdoc.asp?DDFDocuments/t/G/TBTN23/BDI325A1.DOCX")</f>
      </c>
      <c r="P1008" s="6">
        <f>HYPERLINK("https://docs.wto.org/imrd/directdoc.asp?DDFDocuments/u/G/TBTN23/BDI325A1.DOCX", "https://docs.wto.org/imrd/directdoc.asp?DDFDocuments/u/G/TBTN23/BDI325A1.DOCX")</f>
      </c>
      <c r="Q1008" s="6">
        <f>HYPERLINK("https://docs.wto.org/imrd/directdoc.asp?DDFDocuments/v/G/TBTN23/BDI325A1.DOCX", "https://docs.wto.org/imrd/directdoc.asp?DDFDocuments/v/G/TBTN23/BDI325A1.DOCX")</f>
      </c>
    </row>
    <row r="1009">
      <c r="A1009" s="6" t="s">
        <v>880</v>
      </c>
      <c r="B1009" s="7">
        <v>45496</v>
      </c>
      <c r="C1009" s="6">
        <f>HYPERLINK("https://eping.wto.org/en/Search?viewData= G/TBT/N/BDI/326/Add.1, G/TBT/N/KEN/1388/Add.1, G/TBT/N/RWA/833/Add.1, G/TBT/N/TZA/912/Add.1, G/TBT/N/UGA/1741/Add.1"," G/TBT/N/BDI/326/Add.1, G/TBT/N/KEN/1388/Add.1, G/TBT/N/RWA/833/Add.1, G/TBT/N/TZA/912/Add.1, G/TBT/N/UGA/1741/Add.1")</f>
      </c>
      <c r="D1009" s="8" t="s">
        <v>3456</v>
      </c>
      <c r="E1009" s="8" t="s">
        <v>3457</v>
      </c>
      <c r="F1009" s="8" t="s">
        <v>3339</v>
      </c>
      <c r="G1009" s="6" t="s">
        <v>40</v>
      </c>
      <c r="H1009" s="6" t="s">
        <v>363</v>
      </c>
      <c r="I1009" s="6" t="s">
        <v>3334</v>
      </c>
      <c r="J1009" s="6" t="s">
        <v>40</v>
      </c>
      <c r="K1009" s="6"/>
      <c r="L1009" s="7" t="s">
        <v>40</v>
      </c>
      <c r="M1009" s="6" t="s">
        <v>76</v>
      </c>
      <c r="N1009" s="6"/>
      <c r="O1009" s="6">
        <f>HYPERLINK("https://docs.wto.org/imrd/directdoc.asp?DDFDocuments/t/G/TBTN23/BDI326A1.DOCX", "https://docs.wto.org/imrd/directdoc.asp?DDFDocuments/t/G/TBTN23/BDI326A1.DOCX")</f>
      </c>
      <c r="P1009" s="6">
        <f>HYPERLINK("https://docs.wto.org/imrd/directdoc.asp?DDFDocuments/u/G/TBTN23/BDI326A1.DOCX", "https://docs.wto.org/imrd/directdoc.asp?DDFDocuments/u/G/TBTN23/BDI326A1.DOCX")</f>
      </c>
      <c r="Q1009" s="6">
        <f>HYPERLINK("https://docs.wto.org/imrd/directdoc.asp?DDFDocuments/v/G/TBTN23/BDI326A1.DOCX", "https://docs.wto.org/imrd/directdoc.asp?DDFDocuments/v/G/TBTN23/BDI326A1.DOCX")</f>
      </c>
    </row>
    <row r="1010">
      <c r="A1010" s="6" t="s">
        <v>2024</v>
      </c>
      <c r="B1010" s="7">
        <v>45496</v>
      </c>
      <c r="C1010" s="6">
        <f>HYPERLINK("https://eping.wto.org/en/Search?viewData= G/TBT/N/BDI/315/Add.1, G/TBT/N/KEN/1364/Add.1, G/TBT/N/RWA/756/Add.1, G/TBT/N/TZA/879/Add.1, G/TBT/N/UGA/1726/Add.1"," G/TBT/N/BDI/315/Add.1, G/TBT/N/KEN/1364/Add.1, G/TBT/N/RWA/756/Add.1, G/TBT/N/TZA/879/Add.1, G/TBT/N/UGA/1726/Add.1")</f>
      </c>
      <c r="D1010" s="8" t="s">
        <v>3458</v>
      </c>
      <c r="E1010" s="8" t="s">
        <v>3459</v>
      </c>
      <c r="F1010" s="8" t="s">
        <v>3332</v>
      </c>
      <c r="G1010" s="6" t="s">
        <v>40</v>
      </c>
      <c r="H1010" s="6" t="s">
        <v>932</v>
      </c>
      <c r="I1010" s="6" t="s">
        <v>3334</v>
      </c>
      <c r="J1010" s="6" t="s">
        <v>40</v>
      </c>
      <c r="K1010" s="6"/>
      <c r="L1010" s="7" t="s">
        <v>40</v>
      </c>
      <c r="M1010" s="6" t="s">
        <v>76</v>
      </c>
      <c r="N1010" s="6"/>
      <c r="O1010" s="6">
        <f>HYPERLINK("https://docs.wto.org/imrd/directdoc.asp?DDFDocuments/t/G/TBTN23/BDI315A1.DOCX", "https://docs.wto.org/imrd/directdoc.asp?DDFDocuments/t/G/TBTN23/BDI315A1.DOCX")</f>
      </c>
      <c r="P1010" s="6">
        <f>HYPERLINK("https://docs.wto.org/imrd/directdoc.asp?DDFDocuments/u/G/TBTN23/BDI315A1.DOCX", "https://docs.wto.org/imrd/directdoc.asp?DDFDocuments/u/G/TBTN23/BDI315A1.DOCX")</f>
      </c>
      <c r="Q1010" s="6">
        <f>HYPERLINK("https://docs.wto.org/imrd/directdoc.asp?DDFDocuments/v/G/TBTN23/BDI315A1.DOCX", "https://docs.wto.org/imrd/directdoc.asp?DDFDocuments/v/G/TBTN23/BDI315A1.DOCX")</f>
      </c>
    </row>
    <row r="1011">
      <c r="A1011" s="6" t="s">
        <v>880</v>
      </c>
      <c r="B1011" s="7">
        <v>45496</v>
      </c>
      <c r="C1011" s="6">
        <f>HYPERLINK("https://eping.wto.org/en/Search?viewData= G/TBT/N/BDI/315/Add.1, G/TBT/N/KEN/1364/Add.1, G/TBT/N/RWA/756/Add.1, G/TBT/N/TZA/879/Add.1, G/TBT/N/UGA/1726/Add.1"," G/TBT/N/BDI/315/Add.1, G/TBT/N/KEN/1364/Add.1, G/TBT/N/RWA/756/Add.1, G/TBT/N/TZA/879/Add.1, G/TBT/N/UGA/1726/Add.1")</f>
      </c>
      <c r="D1011" s="8" t="s">
        <v>3458</v>
      </c>
      <c r="E1011" s="8" t="s">
        <v>3459</v>
      </c>
      <c r="F1011" s="8" t="s">
        <v>3332</v>
      </c>
      <c r="G1011" s="6" t="s">
        <v>40</v>
      </c>
      <c r="H1011" s="6" t="s">
        <v>932</v>
      </c>
      <c r="I1011" s="6" t="s">
        <v>3334</v>
      </c>
      <c r="J1011" s="6" t="s">
        <v>40</v>
      </c>
      <c r="K1011" s="6"/>
      <c r="L1011" s="7" t="s">
        <v>40</v>
      </c>
      <c r="M1011" s="6" t="s">
        <v>76</v>
      </c>
      <c r="N1011" s="6"/>
      <c r="O1011" s="6">
        <f>HYPERLINK("https://docs.wto.org/imrd/directdoc.asp?DDFDocuments/t/G/TBTN23/BDI315A1.DOCX", "https://docs.wto.org/imrd/directdoc.asp?DDFDocuments/t/G/TBTN23/BDI315A1.DOCX")</f>
      </c>
      <c r="P1011" s="6">
        <f>HYPERLINK("https://docs.wto.org/imrd/directdoc.asp?DDFDocuments/u/G/TBTN23/BDI315A1.DOCX", "https://docs.wto.org/imrd/directdoc.asp?DDFDocuments/u/G/TBTN23/BDI315A1.DOCX")</f>
      </c>
      <c r="Q1011" s="6">
        <f>HYPERLINK("https://docs.wto.org/imrd/directdoc.asp?DDFDocuments/v/G/TBTN23/BDI315A1.DOCX", "https://docs.wto.org/imrd/directdoc.asp?DDFDocuments/v/G/TBTN23/BDI315A1.DOCX")</f>
      </c>
    </row>
    <row r="1012">
      <c r="A1012" s="6" t="s">
        <v>2024</v>
      </c>
      <c r="B1012" s="7">
        <v>45496</v>
      </c>
      <c r="C1012" s="6">
        <f>HYPERLINK("https://eping.wto.org/en/Search?viewData= G/TBT/N/BDI/356/Add.1, G/TBT/N/KEN/1436/Add.1, G/TBT/N/RWA/867/Add.1, G/TBT/N/TZA/970/Add.1, G/TBT/N/UGA/1772/Add.1"," G/TBT/N/BDI/356/Add.1, G/TBT/N/KEN/1436/Add.1, G/TBT/N/RWA/867/Add.1, G/TBT/N/TZA/970/Add.1, G/TBT/N/UGA/1772/Add.1")</f>
      </c>
      <c r="D1012" s="8" t="s">
        <v>3454</v>
      </c>
      <c r="E1012" s="8" t="s">
        <v>3455</v>
      </c>
      <c r="F1012" s="8" t="s">
        <v>3375</v>
      </c>
      <c r="G1012" s="6" t="s">
        <v>40</v>
      </c>
      <c r="H1012" s="6" t="s">
        <v>841</v>
      </c>
      <c r="I1012" s="6" t="s">
        <v>3334</v>
      </c>
      <c r="J1012" s="6" t="s">
        <v>40</v>
      </c>
      <c r="K1012" s="6"/>
      <c r="L1012" s="7" t="s">
        <v>40</v>
      </c>
      <c r="M1012" s="6" t="s">
        <v>76</v>
      </c>
      <c r="N1012" s="6"/>
      <c r="O1012" s="6">
        <f>HYPERLINK("https://docs.wto.org/imrd/directdoc.asp?DDFDocuments/t/G/TBTN23/BDI356A1.DOCX", "https://docs.wto.org/imrd/directdoc.asp?DDFDocuments/t/G/TBTN23/BDI356A1.DOCX")</f>
      </c>
      <c r="P1012" s="6">
        <f>HYPERLINK("https://docs.wto.org/imrd/directdoc.asp?DDFDocuments/u/G/TBTN23/BDI356A1.DOCX", "https://docs.wto.org/imrd/directdoc.asp?DDFDocuments/u/G/TBTN23/BDI356A1.DOCX")</f>
      </c>
      <c r="Q1012" s="6">
        <f>HYPERLINK("https://docs.wto.org/imrd/directdoc.asp?DDFDocuments/v/G/TBTN23/BDI356A1.DOCX", "https://docs.wto.org/imrd/directdoc.asp?DDFDocuments/v/G/TBTN23/BDI356A1.DOCX")</f>
      </c>
    </row>
    <row r="1013">
      <c r="A1013" s="6" t="s">
        <v>584</v>
      </c>
      <c r="B1013" s="7">
        <v>45496</v>
      </c>
      <c r="C1013" s="6">
        <f>HYPERLINK("https://eping.wto.org/en/Search?viewData= G/TBT/N/GBR/92"," G/TBT/N/GBR/92")</f>
      </c>
      <c r="D1013" s="8" t="s">
        <v>3510</v>
      </c>
      <c r="E1013" s="8" t="s">
        <v>3511</v>
      </c>
      <c r="F1013" s="8" t="s">
        <v>3512</v>
      </c>
      <c r="G1013" s="6" t="s">
        <v>3513</v>
      </c>
      <c r="H1013" s="6" t="s">
        <v>3514</v>
      </c>
      <c r="I1013" s="6" t="s">
        <v>2991</v>
      </c>
      <c r="J1013" s="6" t="s">
        <v>40</v>
      </c>
      <c r="K1013" s="6"/>
      <c r="L1013" s="7">
        <v>45556</v>
      </c>
      <c r="M1013" s="6" t="s">
        <v>25</v>
      </c>
      <c r="N1013" s="8" t="s">
        <v>3515</v>
      </c>
      <c r="O1013" s="6">
        <f>HYPERLINK("https://docs.wto.org/imrd/directdoc.asp?DDFDocuments/t/G/TBTN24/GBR92.DOCX", "https://docs.wto.org/imrd/directdoc.asp?DDFDocuments/t/G/TBTN24/GBR92.DOCX")</f>
      </c>
      <c r="P1013" s="6"/>
      <c r="Q1013" s="6"/>
    </row>
    <row r="1014">
      <c r="A1014" s="6" t="s">
        <v>1650</v>
      </c>
      <c r="B1014" s="7">
        <v>45496</v>
      </c>
      <c r="C1014" s="6">
        <f>HYPERLINK("https://eping.wto.org/en/Search?viewData= G/TBT/N/URY/27/Rev.1/Add.2"," G/TBT/N/URY/27/Rev.1/Add.2")</f>
      </c>
      <c r="D1014" s="8" t="s">
        <v>3516</v>
      </c>
      <c r="E1014" s="8" t="s">
        <v>3517</v>
      </c>
      <c r="F1014" s="8" t="s">
        <v>3518</v>
      </c>
      <c r="G1014" s="6" t="s">
        <v>40</v>
      </c>
      <c r="H1014" s="6" t="s">
        <v>545</v>
      </c>
      <c r="I1014" s="6" t="s">
        <v>147</v>
      </c>
      <c r="J1014" s="6" t="s">
        <v>122</v>
      </c>
      <c r="K1014" s="6"/>
      <c r="L1014" s="7" t="s">
        <v>40</v>
      </c>
      <c r="M1014" s="6" t="s">
        <v>76</v>
      </c>
      <c r="N1014" s="6"/>
      <c r="O1014" s="6">
        <f>HYPERLINK("https://docs.wto.org/imrd/directdoc.asp?DDFDocuments/t/G/TBTN19/URY27R1A2.DOCX", "https://docs.wto.org/imrd/directdoc.asp?DDFDocuments/t/G/TBTN19/URY27R1A2.DOCX")</f>
      </c>
      <c r="P1014" s="6">
        <f>HYPERLINK("https://docs.wto.org/imrd/directdoc.asp?DDFDocuments/u/G/TBTN19/URY27R1A2.DOCX", "https://docs.wto.org/imrd/directdoc.asp?DDFDocuments/u/G/TBTN19/URY27R1A2.DOCX")</f>
      </c>
      <c r="Q1014" s="6">
        <f>HYPERLINK("https://docs.wto.org/imrd/directdoc.asp?DDFDocuments/v/G/TBTN19/URY27R1A2.DOCX", "https://docs.wto.org/imrd/directdoc.asp?DDFDocuments/v/G/TBTN19/URY27R1A2.DOCX")</f>
      </c>
    </row>
    <row r="1015">
      <c r="A1015" s="6" t="s">
        <v>373</v>
      </c>
      <c r="B1015" s="7">
        <v>45496</v>
      </c>
      <c r="C1015" s="6">
        <f>HYPERLINK("https://eping.wto.org/en/Search?viewData= G/TBT/N/ISR/1331/Rev.1/Add.1"," G/TBT/N/ISR/1331/Rev.1/Add.1")</f>
      </c>
      <c r="D1015" s="8" t="s">
        <v>3519</v>
      </c>
      <c r="E1015" s="8" t="s">
        <v>40</v>
      </c>
      <c r="F1015" s="8" t="s">
        <v>3520</v>
      </c>
      <c r="G1015" s="6" t="s">
        <v>3521</v>
      </c>
      <c r="H1015" s="6" t="s">
        <v>3015</v>
      </c>
      <c r="I1015" s="6" t="s">
        <v>1941</v>
      </c>
      <c r="J1015" s="6" t="s">
        <v>40</v>
      </c>
      <c r="K1015" s="6"/>
      <c r="L1015" s="7" t="s">
        <v>40</v>
      </c>
      <c r="M1015" s="6" t="s">
        <v>76</v>
      </c>
      <c r="N1015" s="8" t="s">
        <v>3522</v>
      </c>
      <c r="O1015" s="6">
        <f>HYPERLINK("https://docs.wto.org/imrd/directdoc.asp?DDFDocuments/t/G/TBTN24/ISR1331R1A1.DOCX", "https://docs.wto.org/imrd/directdoc.asp?DDFDocuments/t/G/TBTN24/ISR1331R1A1.DOCX")</f>
      </c>
      <c r="P1015" s="6">
        <f>HYPERLINK("https://docs.wto.org/imrd/directdoc.asp?DDFDocuments/u/G/TBTN24/ISR1331R1A1.DOCX", "https://docs.wto.org/imrd/directdoc.asp?DDFDocuments/u/G/TBTN24/ISR1331R1A1.DOCX")</f>
      </c>
      <c r="Q1015" s="6">
        <f>HYPERLINK("https://docs.wto.org/imrd/directdoc.asp?DDFDocuments/v/G/TBTN24/ISR1331R1A1.DOCX", "https://docs.wto.org/imrd/directdoc.asp?DDFDocuments/v/G/TBTN24/ISR1331R1A1.DOCX")</f>
      </c>
    </row>
    <row r="1016">
      <c r="A1016" s="6" t="s">
        <v>2041</v>
      </c>
      <c r="B1016" s="7">
        <v>45496</v>
      </c>
      <c r="C1016" s="6">
        <f>HYPERLINK("https://eping.wto.org/en/Search?viewData= G/TBT/N/BDI/326/Add.1, G/TBT/N/KEN/1388/Add.1, G/TBT/N/RWA/833/Add.1, G/TBT/N/TZA/912/Add.1, G/TBT/N/UGA/1741/Add.1"," G/TBT/N/BDI/326/Add.1, G/TBT/N/KEN/1388/Add.1, G/TBT/N/RWA/833/Add.1, G/TBT/N/TZA/912/Add.1, G/TBT/N/UGA/1741/Add.1")</f>
      </c>
      <c r="D1016" s="8" t="s">
        <v>3456</v>
      </c>
      <c r="E1016" s="8" t="s">
        <v>3457</v>
      </c>
      <c r="F1016" s="8" t="s">
        <v>3339</v>
      </c>
      <c r="G1016" s="6" t="s">
        <v>40</v>
      </c>
      <c r="H1016" s="6" t="s">
        <v>363</v>
      </c>
      <c r="I1016" s="6" t="s">
        <v>3334</v>
      </c>
      <c r="J1016" s="6" t="s">
        <v>40</v>
      </c>
      <c r="K1016" s="6"/>
      <c r="L1016" s="7" t="s">
        <v>40</v>
      </c>
      <c r="M1016" s="6" t="s">
        <v>76</v>
      </c>
      <c r="N1016" s="6"/>
      <c r="O1016" s="6">
        <f>HYPERLINK("https://docs.wto.org/imrd/directdoc.asp?DDFDocuments/t/G/TBTN23/BDI326A1.DOCX", "https://docs.wto.org/imrd/directdoc.asp?DDFDocuments/t/G/TBTN23/BDI326A1.DOCX")</f>
      </c>
      <c r="P1016" s="6">
        <f>HYPERLINK("https://docs.wto.org/imrd/directdoc.asp?DDFDocuments/u/G/TBTN23/BDI326A1.DOCX", "https://docs.wto.org/imrd/directdoc.asp?DDFDocuments/u/G/TBTN23/BDI326A1.DOCX")</f>
      </c>
      <c r="Q1016" s="6">
        <f>HYPERLINK("https://docs.wto.org/imrd/directdoc.asp?DDFDocuments/v/G/TBTN23/BDI326A1.DOCX", "https://docs.wto.org/imrd/directdoc.asp?DDFDocuments/v/G/TBTN23/BDI326A1.DOCX")</f>
      </c>
    </row>
    <row r="1017">
      <c r="A1017" s="6" t="s">
        <v>880</v>
      </c>
      <c r="B1017" s="7">
        <v>45496</v>
      </c>
      <c r="C1017" s="6">
        <f>HYPERLINK("https://eping.wto.org/en/Search?viewData= G/TBT/N/BDI/403/Add.1, G/TBT/N/KEN/1498/Add.1, G/TBT/N/RWA/927/Add.1, G/TBT/N/TZA/1031/Add.1, G/TBT/N/UGA/1838/Add.1"," G/TBT/N/BDI/403/Add.1, G/TBT/N/KEN/1498/Add.1, G/TBT/N/RWA/927/Add.1, G/TBT/N/TZA/1031/Add.1, G/TBT/N/UGA/1838/Add.1")</f>
      </c>
      <c r="D1017" s="8" t="s">
        <v>3460</v>
      </c>
      <c r="E1017" s="8" t="s">
        <v>3461</v>
      </c>
      <c r="F1017" s="8" t="s">
        <v>3462</v>
      </c>
      <c r="G1017" s="6" t="s">
        <v>3463</v>
      </c>
      <c r="H1017" s="6" t="s">
        <v>3036</v>
      </c>
      <c r="I1017" s="6" t="s">
        <v>3280</v>
      </c>
      <c r="J1017" s="6" t="s">
        <v>122</v>
      </c>
      <c r="K1017" s="6"/>
      <c r="L1017" s="7" t="s">
        <v>40</v>
      </c>
      <c r="M1017" s="6" t="s">
        <v>76</v>
      </c>
      <c r="N1017" s="6"/>
      <c r="O1017" s="6">
        <f>HYPERLINK("https://docs.wto.org/imrd/directdoc.asp?DDFDocuments/t/G/TBTN23/BDI403A1.DOCX", "https://docs.wto.org/imrd/directdoc.asp?DDFDocuments/t/G/TBTN23/BDI403A1.DOCX")</f>
      </c>
      <c r="P1017" s="6"/>
      <c r="Q1017" s="6"/>
    </row>
    <row r="1018">
      <c r="A1018" s="6" t="s">
        <v>2030</v>
      </c>
      <c r="B1018" s="7">
        <v>45496</v>
      </c>
      <c r="C1018" s="6">
        <f>HYPERLINK("https://eping.wto.org/en/Search?viewData= G/TBT/N/BDI/315/Add.1, G/TBT/N/KEN/1364/Add.1, G/TBT/N/RWA/756/Add.1, G/TBT/N/TZA/879/Add.1, G/TBT/N/UGA/1726/Add.1"," G/TBT/N/BDI/315/Add.1, G/TBT/N/KEN/1364/Add.1, G/TBT/N/RWA/756/Add.1, G/TBT/N/TZA/879/Add.1, G/TBT/N/UGA/1726/Add.1")</f>
      </c>
      <c r="D1018" s="8" t="s">
        <v>3458</v>
      </c>
      <c r="E1018" s="8" t="s">
        <v>3459</v>
      </c>
      <c r="F1018" s="8" t="s">
        <v>3332</v>
      </c>
      <c r="G1018" s="6" t="s">
        <v>40</v>
      </c>
      <c r="H1018" s="6" t="s">
        <v>932</v>
      </c>
      <c r="I1018" s="6" t="s">
        <v>3334</v>
      </c>
      <c r="J1018" s="6" t="s">
        <v>40</v>
      </c>
      <c r="K1018" s="6"/>
      <c r="L1018" s="7" t="s">
        <v>40</v>
      </c>
      <c r="M1018" s="6" t="s">
        <v>76</v>
      </c>
      <c r="N1018" s="6"/>
      <c r="O1018" s="6">
        <f>HYPERLINK("https://docs.wto.org/imrd/directdoc.asp?DDFDocuments/t/G/TBTN23/BDI315A1.DOCX", "https://docs.wto.org/imrd/directdoc.asp?DDFDocuments/t/G/TBTN23/BDI315A1.DOCX")</f>
      </c>
      <c r="P1018" s="6">
        <f>HYPERLINK("https://docs.wto.org/imrd/directdoc.asp?DDFDocuments/u/G/TBTN23/BDI315A1.DOCX", "https://docs.wto.org/imrd/directdoc.asp?DDFDocuments/u/G/TBTN23/BDI315A1.DOCX")</f>
      </c>
      <c r="Q1018" s="6">
        <f>HYPERLINK("https://docs.wto.org/imrd/directdoc.asp?DDFDocuments/v/G/TBTN23/BDI315A1.DOCX", "https://docs.wto.org/imrd/directdoc.asp?DDFDocuments/v/G/TBTN23/BDI315A1.DOCX")</f>
      </c>
    </row>
    <row r="1019">
      <c r="A1019" s="6" t="s">
        <v>2030</v>
      </c>
      <c r="B1019" s="7">
        <v>45496</v>
      </c>
      <c r="C1019" s="6">
        <f>HYPERLINK("https://eping.wto.org/en/Search?viewData= G/TBT/N/BDI/404/Add.1, G/TBT/N/KEN/1499/Add.1, G/TBT/N/RWA/928/Add.1, G/TBT/N/TZA/1032/Add.1, G/TBT/N/UGA/1839/Add.1"," G/TBT/N/BDI/404/Add.1, G/TBT/N/KEN/1499/Add.1, G/TBT/N/RWA/928/Add.1, G/TBT/N/TZA/1032/Add.1, G/TBT/N/UGA/1839/Add.1")</f>
      </c>
      <c r="D1019" s="8" t="s">
        <v>3474</v>
      </c>
      <c r="E1019" s="8" t="s">
        <v>3475</v>
      </c>
      <c r="F1019" s="8" t="s">
        <v>3476</v>
      </c>
      <c r="G1019" s="6" t="s">
        <v>3477</v>
      </c>
      <c r="H1019" s="6" t="s">
        <v>3036</v>
      </c>
      <c r="I1019" s="6" t="s">
        <v>3280</v>
      </c>
      <c r="J1019" s="6" t="s">
        <v>122</v>
      </c>
      <c r="K1019" s="6"/>
      <c r="L1019" s="7" t="s">
        <v>40</v>
      </c>
      <c r="M1019" s="6" t="s">
        <v>76</v>
      </c>
      <c r="N1019" s="6"/>
      <c r="O1019" s="6">
        <f>HYPERLINK("https://docs.wto.org/imrd/directdoc.asp?DDFDocuments/t/G/TBTN23/BDI404A1.DOCX", "https://docs.wto.org/imrd/directdoc.asp?DDFDocuments/t/G/TBTN23/BDI404A1.DOCX")</f>
      </c>
      <c r="P1019" s="6">
        <f>HYPERLINK("https://docs.wto.org/imrd/directdoc.asp?DDFDocuments/u/G/TBTN23/BDI404A1.DOCX", "https://docs.wto.org/imrd/directdoc.asp?DDFDocuments/u/G/TBTN23/BDI404A1.DOCX")</f>
      </c>
      <c r="Q1019" s="6">
        <f>HYPERLINK("https://docs.wto.org/imrd/directdoc.asp?DDFDocuments/v/G/TBTN23/BDI404A1.DOCX", "https://docs.wto.org/imrd/directdoc.asp?DDFDocuments/v/G/TBTN23/BDI404A1.DOCX")</f>
      </c>
    </row>
    <row r="1020">
      <c r="A1020" s="6" t="s">
        <v>2041</v>
      </c>
      <c r="B1020" s="7">
        <v>45496</v>
      </c>
      <c r="C1020" s="6">
        <f>HYPERLINK("https://eping.wto.org/en/Search?viewData= G/TBT/N/BDI/317/Add.1, G/TBT/N/KEN/1366/Add.1, G/TBT/N/RWA/758/Add.1, G/TBT/N/TZA/881/Add.1, G/TBT/N/UGA/1728/Add.1"," G/TBT/N/BDI/317/Add.1, G/TBT/N/KEN/1366/Add.1, G/TBT/N/RWA/758/Add.1, G/TBT/N/TZA/881/Add.1, G/TBT/N/UGA/1728/Add.1")</f>
      </c>
      <c r="D1020" s="8" t="s">
        <v>3478</v>
      </c>
      <c r="E1020" s="8" t="s">
        <v>3479</v>
      </c>
      <c r="F1020" s="8" t="s">
        <v>3332</v>
      </c>
      <c r="G1020" s="6" t="s">
        <v>40</v>
      </c>
      <c r="H1020" s="6" t="s">
        <v>932</v>
      </c>
      <c r="I1020" s="6" t="s">
        <v>3334</v>
      </c>
      <c r="J1020" s="6" t="s">
        <v>40</v>
      </c>
      <c r="K1020" s="6"/>
      <c r="L1020" s="7" t="s">
        <v>40</v>
      </c>
      <c r="M1020" s="6" t="s">
        <v>76</v>
      </c>
      <c r="N1020" s="6"/>
      <c r="O1020" s="6">
        <f>HYPERLINK("https://docs.wto.org/imrd/directdoc.asp?DDFDocuments/t/G/TBTN23/BDI317A1.DOCX", "https://docs.wto.org/imrd/directdoc.asp?DDFDocuments/t/G/TBTN23/BDI317A1.DOCX")</f>
      </c>
      <c r="P1020" s="6">
        <f>HYPERLINK("https://docs.wto.org/imrd/directdoc.asp?DDFDocuments/u/G/TBTN23/BDI317A1.DOCX", "https://docs.wto.org/imrd/directdoc.asp?DDFDocuments/u/G/TBTN23/BDI317A1.DOCX")</f>
      </c>
      <c r="Q1020" s="6">
        <f>HYPERLINK("https://docs.wto.org/imrd/directdoc.asp?DDFDocuments/v/G/TBTN23/BDI317A1.DOCX", "https://docs.wto.org/imrd/directdoc.asp?DDFDocuments/v/G/TBTN23/BDI317A1.DOCX")</f>
      </c>
    </row>
    <row r="1021">
      <c r="A1021" s="6" t="s">
        <v>17</v>
      </c>
      <c r="B1021" s="7">
        <v>45496</v>
      </c>
      <c r="C1021" s="6">
        <f>HYPERLINK("https://eping.wto.org/en/Search?viewData= G/TBT/N/BDI/403/Add.1, G/TBT/N/KEN/1498/Add.1, G/TBT/N/RWA/927/Add.1, G/TBT/N/TZA/1031/Add.1, G/TBT/N/UGA/1838/Add.1"," G/TBT/N/BDI/403/Add.1, G/TBT/N/KEN/1498/Add.1, G/TBT/N/RWA/927/Add.1, G/TBT/N/TZA/1031/Add.1, G/TBT/N/UGA/1838/Add.1")</f>
      </c>
      <c r="D1021" s="8" t="s">
        <v>3460</v>
      </c>
      <c r="E1021" s="8" t="s">
        <v>3461</v>
      </c>
      <c r="F1021" s="8" t="s">
        <v>3462</v>
      </c>
      <c r="G1021" s="6" t="s">
        <v>3463</v>
      </c>
      <c r="H1021" s="6" t="s">
        <v>3036</v>
      </c>
      <c r="I1021" s="6" t="s">
        <v>81</v>
      </c>
      <c r="J1021" s="6" t="s">
        <v>122</v>
      </c>
      <c r="K1021" s="6"/>
      <c r="L1021" s="7" t="s">
        <v>40</v>
      </c>
      <c r="M1021" s="6" t="s">
        <v>76</v>
      </c>
      <c r="N1021" s="6"/>
      <c r="O1021" s="6">
        <f>HYPERLINK("https://docs.wto.org/imrd/directdoc.asp?DDFDocuments/t/G/TBTN23/BDI403A1.DOCX", "https://docs.wto.org/imrd/directdoc.asp?DDFDocuments/t/G/TBTN23/BDI403A1.DOCX")</f>
      </c>
      <c r="P1021" s="6"/>
      <c r="Q1021" s="6"/>
    </row>
    <row r="1022">
      <c r="A1022" s="6" t="s">
        <v>2030</v>
      </c>
      <c r="B1022" s="7">
        <v>45496</v>
      </c>
      <c r="C1022" s="6">
        <f>HYPERLINK("https://eping.wto.org/en/Search?viewData= G/TBT/N/BDI/317/Add.1, G/TBT/N/KEN/1366/Add.1, G/TBT/N/RWA/758/Add.1, G/TBT/N/TZA/881/Add.1, G/TBT/N/UGA/1728/Add.1"," G/TBT/N/BDI/317/Add.1, G/TBT/N/KEN/1366/Add.1, G/TBT/N/RWA/758/Add.1, G/TBT/N/TZA/881/Add.1, G/TBT/N/UGA/1728/Add.1")</f>
      </c>
      <c r="D1022" s="8" t="s">
        <v>3478</v>
      </c>
      <c r="E1022" s="8" t="s">
        <v>3479</v>
      </c>
      <c r="F1022" s="8" t="s">
        <v>3332</v>
      </c>
      <c r="G1022" s="6" t="s">
        <v>40</v>
      </c>
      <c r="H1022" s="6" t="s">
        <v>932</v>
      </c>
      <c r="I1022" s="6" t="s">
        <v>3334</v>
      </c>
      <c r="J1022" s="6" t="s">
        <v>40</v>
      </c>
      <c r="K1022" s="6"/>
      <c r="L1022" s="7" t="s">
        <v>40</v>
      </c>
      <c r="M1022" s="6" t="s">
        <v>76</v>
      </c>
      <c r="N1022" s="6"/>
      <c r="O1022" s="6">
        <f>HYPERLINK("https://docs.wto.org/imrd/directdoc.asp?DDFDocuments/t/G/TBTN23/BDI317A1.DOCX", "https://docs.wto.org/imrd/directdoc.asp?DDFDocuments/t/G/TBTN23/BDI317A1.DOCX")</f>
      </c>
      <c r="P1022" s="6">
        <f>HYPERLINK("https://docs.wto.org/imrd/directdoc.asp?DDFDocuments/u/G/TBTN23/BDI317A1.DOCX", "https://docs.wto.org/imrd/directdoc.asp?DDFDocuments/u/G/TBTN23/BDI317A1.DOCX")</f>
      </c>
      <c r="Q1022" s="6">
        <f>HYPERLINK("https://docs.wto.org/imrd/directdoc.asp?DDFDocuments/v/G/TBTN23/BDI317A1.DOCX", "https://docs.wto.org/imrd/directdoc.asp?DDFDocuments/v/G/TBTN23/BDI317A1.DOCX")</f>
      </c>
    </row>
    <row r="1023">
      <c r="A1023" s="6" t="s">
        <v>2024</v>
      </c>
      <c r="B1023" s="7">
        <v>45496</v>
      </c>
      <c r="C1023" s="6">
        <f>HYPERLINK("https://eping.wto.org/en/Search?viewData= G/TBT/N/BDI/296/Add.1, G/TBT/N/KEN/1331/Add.1, G/TBT/N/RWA/738/Add.1, G/TBT/N/TZA/856/Add.1, G/TBT/N/UGA/1705/Add.1"," G/TBT/N/BDI/296/Add.1, G/TBT/N/KEN/1331/Add.1, G/TBT/N/RWA/738/Add.1, G/TBT/N/TZA/856/Add.1, G/TBT/N/UGA/1705/Add.1")</f>
      </c>
      <c r="D1023" s="8" t="s">
        <v>3451</v>
      </c>
      <c r="E1023" s="8" t="s">
        <v>3452</v>
      </c>
      <c r="F1023" s="8" t="s">
        <v>3332</v>
      </c>
      <c r="G1023" s="6" t="s">
        <v>40</v>
      </c>
      <c r="H1023" s="6" t="s">
        <v>932</v>
      </c>
      <c r="I1023" s="6" t="s">
        <v>3453</v>
      </c>
      <c r="J1023" s="6" t="s">
        <v>40</v>
      </c>
      <c r="K1023" s="6"/>
      <c r="L1023" s="7" t="s">
        <v>40</v>
      </c>
      <c r="M1023" s="6" t="s">
        <v>76</v>
      </c>
      <c r="N1023" s="6"/>
      <c r="O1023" s="6">
        <f>HYPERLINK("https://docs.wto.org/imrd/directdoc.asp?DDFDocuments/t/G/TBTN22/BDI296A1.DOCX", "https://docs.wto.org/imrd/directdoc.asp?DDFDocuments/t/G/TBTN22/BDI296A1.DOCX")</f>
      </c>
      <c r="P1023" s="6">
        <f>HYPERLINK("https://docs.wto.org/imrd/directdoc.asp?DDFDocuments/u/G/TBTN22/BDI296A1.DOCX", "https://docs.wto.org/imrd/directdoc.asp?DDFDocuments/u/G/TBTN22/BDI296A1.DOCX")</f>
      </c>
      <c r="Q1023" s="6">
        <f>HYPERLINK("https://docs.wto.org/imrd/directdoc.asp?DDFDocuments/v/G/TBTN22/BDI296A1.DOCX", "https://docs.wto.org/imrd/directdoc.asp?DDFDocuments/v/G/TBTN22/BDI296A1.DOCX")</f>
      </c>
    </row>
    <row r="1024">
      <c r="A1024" s="6" t="s">
        <v>2041</v>
      </c>
      <c r="B1024" s="7">
        <v>45496</v>
      </c>
      <c r="C1024" s="6">
        <f>HYPERLINK("https://eping.wto.org/en/Search?viewData= G/TBT/N/BDI/356/Add.1, G/TBT/N/KEN/1436/Add.1, G/TBT/N/RWA/867/Add.1, G/TBT/N/TZA/970/Add.1, G/TBT/N/UGA/1772/Add.1"," G/TBT/N/BDI/356/Add.1, G/TBT/N/KEN/1436/Add.1, G/TBT/N/RWA/867/Add.1, G/TBT/N/TZA/970/Add.1, G/TBT/N/UGA/1772/Add.1")</f>
      </c>
      <c r="D1024" s="8" t="s">
        <v>3454</v>
      </c>
      <c r="E1024" s="8" t="s">
        <v>3455</v>
      </c>
      <c r="F1024" s="8" t="s">
        <v>3375</v>
      </c>
      <c r="G1024" s="6" t="s">
        <v>40</v>
      </c>
      <c r="H1024" s="6" t="s">
        <v>841</v>
      </c>
      <c r="I1024" s="6" t="s">
        <v>3334</v>
      </c>
      <c r="J1024" s="6" t="s">
        <v>40</v>
      </c>
      <c r="K1024" s="6"/>
      <c r="L1024" s="7" t="s">
        <v>40</v>
      </c>
      <c r="M1024" s="6" t="s">
        <v>76</v>
      </c>
      <c r="N1024" s="6"/>
      <c r="O1024" s="6">
        <f>HYPERLINK("https://docs.wto.org/imrd/directdoc.asp?DDFDocuments/t/G/TBTN23/BDI356A1.DOCX", "https://docs.wto.org/imrd/directdoc.asp?DDFDocuments/t/G/TBTN23/BDI356A1.DOCX")</f>
      </c>
      <c r="P1024" s="6">
        <f>HYPERLINK("https://docs.wto.org/imrd/directdoc.asp?DDFDocuments/u/G/TBTN23/BDI356A1.DOCX", "https://docs.wto.org/imrd/directdoc.asp?DDFDocuments/u/G/TBTN23/BDI356A1.DOCX")</f>
      </c>
      <c r="Q1024" s="6">
        <f>HYPERLINK("https://docs.wto.org/imrd/directdoc.asp?DDFDocuments/v/G/TBTN23/BDI356A1.DOCX", "https://docs.wto.org/imrd/directdoc.asp?DDFDocuments/v/G/TBTN23/BDI356A1.DOCX")</f>
      </c>
    </row>
    <row r="1025">
      <c r="A1025" s="6" t="s">
        <v>2041</v>
      </c>
      <c r="B1025" s="7">
        <v>45496</v>
      </c>
      <c r="C1025" s="6">
        <f>HYPERLINK("https://eping.wto.org/en/Search?viewData= G/TBT/N/BDI/325/Add.1, G/TBT/N/KEN/1387/Add.1, G/TBT/N/RWA/832/Add.1, G/TBT/N/TZA/911/Add.1, G/TBT/N/UGA/1740/Add.1"," G/TBT/N/BDI/325/Add.1, G/TBT/N/KEN/1387/Add.1, G/TBT/N/RWA/832/Add.1, G/TBT/N/TZA/911/Add.1, G/TBT/N/UGA/1740/Add.1")</f>
      </c>
      <c r="D1025" s="8" t="s">
        <v>3485</v>
      </c>
      <c r="E1025" s="8" t="s">
        <v>3486</v>
      </c>
      <c r="F1025" s="8" t="s">
        <v>3339</v>
      </c>
      <c r="G1025" s="6" t="s">
        <v>40</v>
      </c>
      <c r="H1025" s="6" t="s">
        <v>363</v>
      </c>
      <c r="I1025" s="6" t="s">
        <v>3334</v>
      </c>
      <c r="J1025" s="6" t="s">
        <v>40</v>
      </c>
      <c r="K1025" s="6"/>
      <c r="L1025" s="7" t="s">
        <v>40</v>
      </c>
      <c r="M1025" s="6" t="s">
        <v>76</v>
      </c>
      <c r="N1025" s="6"/>
      <c r="O1025" s="6">
        <f>HYPERLINK("https://docs.wto.org/imrd/directdoc.asp?DDFDocuments/t/G/TBTN23/BDI325A1.DOCX", "https://docs.wto.org/imrd/directdoc.asp?DDFDocuments/t/G/TBTN23/BDI325A1.DOCX")</f>
      </c>
      <c r="P1025" s="6">
        <f>HYPERLINK("https://docs.wto.org/imrd/directdoc.asp?DDFDocuments/u/G/TBTN23/BDI325A1.DOCX", "https://docs.wto.org/imrd/directdoc.asp?DDFDocuments/u/G/TBTN23/BDI325A1.DOCX")</f>
      </c>
      <c r="Q1025" s="6">
        <f>HYPERLINK("https://docs.wto.org/imrd/directdoc.asp?DDFDocuments/v/G/TBTN23/BDI325A1.DOCX", "https://docs.wto.org/imrd/directdoc.asp?DDFDocuments/v/G/TBTN23/BDI325A1.DOCX")</f>
      </c>
    </row>
    <row r="1026">
      <c r="A1026" s="6" t="s">
        <v>2030</v>
      </c>
      <c r="B1026" s="7">
        <v>45496</v>
      </c>
      <c r="C1026" s="6">
        <f>HYPERLINK("https://eping.wto.org/en/Search?viewData= G/TBT/N/BDI/325/Add.1, G/TBT/N/KEN/1387/Add.1, G/TBT/N/RWA/832/Add.1, G/TBT/N/TZA/911/Add.1, G/TBT/N/UGA/1740/Add.1"," G/TBT/N/BDI/325/Add.1, G/TBT/N/KEN/1387/Add.1, G/TBT/N/RWA/832/Add.1, G/TBT/N/TZA/911/Add.1, G/TBT/N/UGA/1740/Add.1")</f>
      </c>
      <c r="D1026" s="8" t="s">
        <v>3485</v>
      </c>
      <c r="E1026" s="8" t="s">
        <v>3486</v>
      </c>
      <c r="F1026" s="8" t="s">
        <v>3339</v>
      </c>
      <c r="G1026" s="6" t="s">
        <v>40</v>
      </c>
      <c r="H1026" s="6" t="s">
        <v>363</v>
      </c>
      <c r="I1026" s="6" t="s">
        <v>3334</v>
      </c>
      <c r="J1026" s="6" t="s">
        <v>40</v>
      </c>
      <c r="K1026" s="6"/>
      <c r="L1026" s="7" t="s">
        <v>40</v>
      </c>
      <c r="M1026" s="6" t="s">
        <v>76</v>
      </c>
      <c r="N1026" s="6"/>
      <c r="O1026" s="6">
        <f>HYPERLINK("https://docs.wto.org/imrd/directdoc.asp?DDFDocuments/t/G/TBTN23/BDI325A1.DOCX", "https://docs.wto.org/imrd/directdoc.asp?DDFDocuments/t/G/TBTN23/BDI325A1.DOCX")</f>
      </c>
      <c r="P1026" s="6">
        <f>HYPERLINK("https://docs.wto.org/imrd/directdoc.asp?DDFDocuments/u/G/TBTN23/BDI325A1.DOCX", "https://docs.wto.org/imrd/directdoc.asp?DDFDocuments/u/G/TBTN23/BDI325A1.DOCX")</f>
      </c>
      <c r="Q1026" s="6">
        <f>HYPERLINK("https://docs.wto.org/imrd/directdoc.asp?DDFDocuments/v/G/TBTN23/BDI325A1.DOCX", "https://docs.wto.org/imrd/directdoc.asp?DDFDocuments/v/G/TBTN23/BDI325A1.DOCX")</f>
      </c>
    </row>
    <row r="1027">
      <c r="A1027" s="6" t="s">
        <v>2041</v>
      </c>
      <c r="B1027" s="7">
        <v>45496</v>
      </c>
      <c r="C1027" s="6">
        <f>HYPERLINK("https://eping.wto.org/en/Search?viewData= G/TBT/N/BDI/298/Add.1, G/TBT/N/KEN/1333/Add.1, G/TBT/N/RWA/740/Add.1, G/TBT/N/TZA/858/Add.1, G/TBT/N/UGA/1707/Add.1"," G/TBT/N/BDI/298/Add.1, G/TBT/N/KEN/1333/Add.1, G/TBT/N/RWA/740/Add.1, G/TBT/N/TZA/858/Add.1, G/TBT/N/UGA/1707/Add.1")</f>
      </c>
      <c r="D1027" s="8" t="s">
        <v>3464</v>
      </c>
      <c r="E1027" s="8" t="s">
        <v>3465</v>
      </c>
      <c r="F1027" s="8" t="s">
        <v>3466</v>
      </c>
      <c r="G1027" s="6" t="s">
        <v>3467</v>
      </c>
      <c r="H1027" s="6" t="s">
        <v>3468</v>
      </c>
      <c r="I1027" s="6" t="s">
        <v>2392</v>
      </c>
      <c r="J1027" s="6" t="s">
        <v>40</v>
      </c>
      <c r="K1027" s="6"/>
      <c r="L1027" s="7" t="s">
        <v>40</v>
      </c>
      <c r="M1027" s="6" t="s">
        <v>76</v>
      </c>
      <c r="N1027" s="6"/>
      <c r="O1027" s="6">
        <f>HYPERLINK("https://docs.wto.org/imrd/directdoc.asp?DDFDocuments/t/G/TBTN22/BDI298A1.DOCX", "https://docs.wto.org/imrd/directdoc.asp?DDFDocuments/t/G/TBTN22/BDI298A1.DOCX")</f>
      </c>
      <c r="P1027" s="6">
        <f>HYPERLINK("https://docs.wto.org/imrd/directdoc.asp?DDFDocuments/u/G/TBTN22/BDI298A1.DOCX", "https://docs.wto.org/imrd/directdoc.asp?DDFDocuments/u/G/TBTN22/BDI298A1.DOCX")</f>
      </c>
      <c r="Q1027" s="6">
        <f>HYPERLINK("https://docs.wto.org/imrd/directdoc.asp?DDFDocuments/v/G/TBTN22/BDI298A1.DOCX", "https://docs.wto.org/imrd/directdoc.asp?DDFDocuments/v/G/TBTN22/BDI298A1.DOCX")</f>
      </c>
    </row>
    <row r="1028">
      <c r="A1028" s="6" t="s">
        <v>2041</v>
      </c>
      <c r="B1028" s="7">
        <v>45496</v>
      </c>
      <c r="C1028" s="6">
        <f>HYPERLINK("https://eping.wto.org/en/Search?viewData= G/TBT/N/BDI/314/Add.1, G/TBT/N/KEN/1363/Add.1, G/TBT/N/RWA/755/Add.1, G/TBT/N/TZA/878/Add.1, G/TBT/N/UGA/1725/Add.1"," G/TBT/N/BDI/314/Add.1, G/TBT/N/KEN/1363/Add.1, G/TBT/N/RWA/755/Add.1, G/TBT/N/TZA/878/Add.1, G/TBT/N/UGA/1725/Add.1")</f>
      </c>
      <c r="D1028" s="8" t="s">
        <v>3449</v>
      </c>
      <c r="E1028" s="8" t="s">
        <v>3450</v>
      </c>
      <c r="F1028" s="8" t="s">
        <v>3332</v>
      </c>
      <c r="G1028" s="6" t="s">
        <v>40</v>
      </c>
      <c r="H1028" s="6" t="s">
        <v>932</v>
      </c>
      <c r="I1028" s="6" t="s">
        <v>3334</v>
      </c>
      <c r="J1028" s="6" t="s">
        <v>40</v>
      </c>
      <c r="K1028" s="6"/>
      <c r="L1028" s="7" t="s">
        <v>40</v>
      </c>
      <c r="M1028" s="6" t="s">
        <v>76</v>
      </c>
      <c r="N1028" s="6"/>
      <c r="O1028" s="6">
        <f>HYPERLINK("https://docs.wto.org/imrd/directdoc.asp?DDFDocuments/t/G/TBTN23/BDI314A1.DOCX", "https://docs.wto.org/imrd/directdoc.asp?DDFDocuments/t/G/TBTN23/BDI314A1.DOCX")</f>
      </c>
      <c r="P1028" s="6">
        <f>HYPERLINK("https://docs.wto.org/imrd/directdoc.asp?DDFDocuments/u/G/TBTN23/BDI314A1.DOCX", "https://docs.wto.org/imrd/directdoc.asp?DDFDocuments/u/G/TBTN23/BDI314A1.DOCX")</f>
      </c>
      <c r="Q1028" s="6">
        <f>HYPERLINK("https://docs.wto.org/imrd/directdoc.asp?DDFDocuments/v/G/TBTN23/BDI314A1.DOCX", "https://docs.wto.org/imrd/directdoc.asp?DDFDocuments/v/G/TBTN23/BDI314A1.DOCX")</f>
      </c>
    </row>
    <row r="1029">
      <c r="A1029" s="6" t="s">
        <v>880</v>
      </c>
      <c r="B1029" s="7">
        <v>45496</v>
      </c>
      <c r="C1029" s="6">
        <f>HYPERLINK("https://eping.wto.org/en/Search?viewData= G/TBT/N/BDI/314/Add.1, G/TBT/N/KEN/1363/Add.1, G/TBT/N/RWA/755/Add.1, G/TBT/N/TZA/878/Add.1, G/TBT/N/UGA/1725/Add.1"," G/TBT/N/BDI/314/Add.1, G/TBT/N/KEN/1363/Add.1, G/TBT/N/RWA/755/Add.1, G/TBT/N/TZA/878/Add.1, G/TBT/N/UGA/1725/Add.1")</f>
      </c>
      <c r="D1029" s="8" t="s">
        <v>3449</v>
      </c>
      <c r="E1029" s="8" t="s">
        <v>3450</v>
      </c>
      <c r="F1029" s="8" t="s">
        <v>3332</v>
      </c>
      <c r="G1029" s="6" t="s">
        <v>40</v>
      </c>
      <c r="H1029" s="6" t="s">
        <v>932</v>
      </c>
      <c r="I1029" s="6" t="s">
        <v>3334</v>
      </c>
      <c r="J1029" s="6" t="s">
        <v>40</v>
      </c>
      <c r="K1029" s="6"/>
      <c r="L1029" s="7" t="s">
        <v>40</v>
      </c>
      <c r="M1029" s="6" t="s">
        <v>76</v>
      </c>
      <c r="N1029" s="6"/>
      <c r="O1029" s="6">
        <f>HYPERLINK("https://docs.wto.org/imrd/directdoc.asp?DDFDocuments/t/G/TBTN23/BDI314A1.DOCX", "https://docs.wto.org/imrd/directdoc.asp?DDFDocuments/t/G/TBTN23/BDI314A1.DOCX")</f>
      </c>
      <c r="P1029" s="6">
        <f>HYPERLINK("https://docs.wto.org/imrd/directdoc.asp?DDFDocuments/u/G/TBTN23/BDI314A1.DOCX", "https://docs.wto.org/imrd/directdoc.asp?DDFDocuments/u/G/TBTN23/BDI314A1.DOCX")</f>
      </c>
      <c r="Q1029" s="6">
        <f>HYPERLINK("https://docs.wto.org/imrd/directdoc.asp?DDFDocuments/v/G/TBTN23/BDI314A1.DOCX", "https://docs.wto.org/imrd/directdoc.asp?DDFDocuments/v/G/TBTN23/BDI314A1.DOCX")</f>
      </c>
    </row>
    <row r="1030">
      <c r="A1030" s="6" t="s">
        <v>17</v>
      </c>
      <c r="B1030" s="7">
        <v>45496</v>
      </c>
      <c r="C1030" s="6">
        <f>HYPERLINK("https://eping.wto.org/en/Search?viewData= G/TBT/N/BDI/316/Add.1, G/TBT/N/KEN/1365/Add.1, G/TBT/N/RWA/757/Add.1, G/TBT/N/TZA/880/Add.1, G/TBT/N/UGA/1727/Add.1"," G/TBT/N/BDI/316/Add.1, G/TBT/N/KEN/1365/Add.1, G/TBT/N/RWA/757/Add.1, G/TBT/N/TZA/880/Add.1, G/TBT/N/UGA/1727/Add.1")</f>
      </c>
      <c r="D1030" s="8" t="s">
        <v>3487</v>
      </c>
      <c r="E1030" s="8" t="s">
        <v>3488</v>
      </c>
      <c r="F1030" s="8" t="s">
        <v>3332</v>
      </c>
      <c r="G1030" s="6" t="s">
        <v>3489</v>
      </c>
      <c r="H1030" s="6" t="s">
        <v>3490</v>
      </c>
      <c r="I1030" s="6" t="s">
        <v>3407</v>
      </c>
      <c r="J1030" s="6" t="s">
        <v>40</v>
      </c>
      <c r="K1030" s="6"/>
      <c r="L1030" s="7" t="s">
        <v>40</v>
      </c>
      <c r="M1030" s="6" t="s">
        <v>76</v>
      </c>
      <c r="N1030" s="6"/>
      <c r="O1030" s="6">
        <f>HYPERLINK("https://docs.wto.org/imrd/directdoc.asp?DDFDocuments/t/G/TBTN23/BDI316A1.DOCX", "https://docs.wto.org/imrd/directdoc.asp?DDFDocuments/t/G/TBTN23/BDI316A1.DOCX")</f>
      </c>
      <c r="P1030" s="6">
        <f>HYPERLINK("https://docs.wto.org/imrd/directdoc.asp?DDFDocuments/u/G/TBTN23/BDI316A1.DOCX", "https://docs.wto.org/imrd/directdoc.asp?DDFDocuments/u/G/TBTN23/BDI316A1.DOCX")</f>
      </c>
      <c r="Q1030" s="6">
        <f>HYPERLINK("https://docs.wto.org/imrd/directdoc.asp?DDFDocuments/v/G/TBTN23/BDI316A1.DOCX", "https://docs.wto.org/imrd/directdoc.asp?DDFDocuments/v/G/TBTN23/BDI316A1.DOCX")</f>
      </c>
    </row>
    <row r="1031">
      <c r="A1031" s="6" t="s">
        <v>1650</v>
      </c>
      <c r="B1031" s="7">
        <v>45496</v>
      </c>
      <c r="C1031" s="6">
        <f>HYPERLINK("https://eping.wto.org/en/Search?viewData= G/TBT/N/URY/94"," G/TBT/N/URY/94")</f>
      </c>
      <c r="D1031" s="8" t="s">
        <v>3523</v>
      </c>
      <c r="E1031" s="8" t="s">
        <v>3524</v>
      </c>
      <c r="F1031" s="8" t="s">
        <v>3525</v>
      </c>
      <c r="G1031" s="6" t="s">
        <v>3526</v>
      </c>
      <c r="H1031" s="6" t="s">
        <v>3483</v>
      </c>
      <c r="I1031" s="6" t="s">
        <v>3016</v>
      </c>
      <c r="J1031" s="6" t="s">
        <v>95</v>
      </c>
      <c r="K1031" s="6"/>
      <c r="L1031" s="7">
        <v>45556</v>
      </c>
      <c r="M1031" s="6" t="s">
        <v>25</v>
      </c>
      <c r="N1031" s="8" t="s">
        <v>3527</v>
      </c>
      <c r="O1031" s="6">
        <f>HYPERLINK("https://docs.wto.org/imrd/directdoc.asp?DDFDocuments/t/G/TBTN24/URY94.DOCX", "https://docs.wto.org/imrd/directdoc.asp?DDFDocuments/t/G/TBTN24/URY94.DOCX")</f>
      </c>
      <c r="P1031" s="6">
        <f>HYPERLINK("https://docs.wto.org/imrd/directdoc.asp?DDFDocuments/u/G/TBTN24/URY94.DOCX", "https://docs.wto.org/imrd/directdoc.asp?DDFDocuments/u/G/TBTN24/URY94.DOCX")</f>
      </c>
      <c r="Q1031" s="6">
        <f>HYPERLINK("https://docs.wto.org/imrd/directdoc.asp?DDFDocuments/v/G/TBTN24/URY94.DOCX", "https://docs.wto.org/imrd/directdoc.asp?DDFDocuments/v/G/TBTN24/URY94.DOCX")</f>
      </c>
    </row>
    <row r="1032">
      <c r="A1032" s="6" t="s">
        <v>2024</v>
      </c>
      <c r="B1032" s="7">
        <v>45496</v>
      </c>
      <c r="C1032" s="6">
        <f>HYPERLINK("https://eping.wto.org/en/Search?viewData= G/TBT/N/BDI/316/Add.1, G/TBT/N/KEN/1365/Add.1, G/TBT/N/RWA/757/Add.1, G/TBT/N/TZA/880/Add.1, G/TBT/N/UGA/1727/Add.1"," G/TBT/N/BDI/316/Add.1, G/TBT/N/KEN/1365/Add.1, G/TBT/N/RWA/757/Add.1, G/TBT/N/TZA/880/Add.1, G/TBT/N/UGA/1727/Add.1")</f>
      </c>
      <c r="D1032" s="8" t="s">
        <v>3487</v>
      </c>
      <c r="E1032" s="8" t="s">
        <v>3488</v>
      </c>
      <c r="F1032" s="8" t="s">
        <v>3332</v>
      </c>
      <c r="G1032" s="6" t="s">
        <v>3489</v>
      </c>
      <c r="H1032" s="6" t="s">
        <v>3490</v>
      </c>
      <c r="I1032" s="6" t="s">
        <v>3334</v>
      </c>
      <c r="J1032" s="6" t="s">
        <v>40</v>
      </c>
      <c r="K1032" s="6"/>
      <c r="L1032" s="7" t="s">
        <v>40</v>
      </c>
      <c r="M1032" s="6" t="s">
        <v>76</v>
      </c>
      <c r="N1032" s="6"/>
      <c r="O1032" s="6">
        <f>HYPERLINK("https://docs.wto.org/imrd/directdoc.asp?DDFDocuments/t/G/TBTN23/BDI316A1.DOCX", "https://docs.wto.org/imrd/directdoc.asp?DDFDocuments/t/G/TBTN23/BDI316A1.DOCX")</f>
      </c>
      <c r="P1032" s="6">
        <f>HYPERLINK("https://docs.wto.org/imrd/directdoc.asp?DDFDocuments/u/G/TBTN23/BDI316A1.DOCX", "https://docs.wto.org/imrd/directdoc.asp?DDFDocuments/u/G/TBTN23/BDI316A1.DOCX")</f>
      </c>
      <c r="Q1032" s="6">
        <f>HYPERLINK("https://docs.wto.org/imrd/directdoc.asp?DDFDocuments/v/G/TBTN23/BDI316A1.DOCX", "https://docs.wto.org/imrd/directdoc.asp?DDFDocuments/v/G/TBTN23/BDI316A1.DOCX")</f>
      </c>
    </row>
    <row r="1033">
      <c r="A1033" s="6" t="s">
        <v>17</v>
      </c>
      <c r="B1033" s="7">
        <v>45496</v>
      </c>
      <c r="C1033" s="6">
        <f>HYPERLINK("https://eping.wto.org/en/Search?viewData= G/TBT/N/BDI/298/Add.1, G/TBT/N/KEN/1333/Add.1, G/TBT/N/RWA/740/Add.1, G/TBT/N/TZA/858/Add.1, G/TBT/N/UGA/1707/Add.1"," G/TBT/N/BDI/298/Add.1, G/TBT/N/KEN/1333/Add.1, G/TBT/N/RWA/740/Add.1, G/TBT/N/TZA/858/Add.1, G/TBT/N/UGA/1707/Add.1")</f>
      </c>
      <c r="D1033" s="8" t="s">
        <v>3464</v>
      </c>
      <c r="E1033" s="8" t="s">
        <v>3465</v>
      </c>
      <c r="F1033" s="8" t="s">
        <v>3466</v>
      </c>
      <c r="G1033" s="6" t="s">
        <v>3467</v>
      </c>
      <c r="H1033" s="6" t="s">
        <v>3468</v>
      </c>
      <c r="I1033" s="6" t="s">
        <v>2153</v>
      </c>
      <c r="J1033" s="6" t="s">
        <v>40</v>
      </c>
      <c r="K1033" s="6"/>
      <c r="L1033" s="7" t="s">
        <v>40</v>
      </c>
      <c r="M1033" s="6" t="s">
        <v>76</v>
      </c>
      <c r="N1033" s="6"/>
      <c r="O1033" s="6">
        <f>HYPERLINK("https://docs.wto.org/imrd/directdoc.asp?DDFDocuments/t/G/TBTN22/BDI298A1.DOCX", "https://docs.wto.org/imrd/directdoc.asp?DDFDocuments/t/G/TBTN22/BDI298A1.DOCX")</f>
      </c>
      <c r="P1033" s="6">
        <f>HYPERLINK("https://docs.wto.org/imrd/directdoc.asp?DDFDocuments/u/G/TBTN22/BDI298A1.DOCX", "https://docs.wto.org/imrd/directdoc.asp?DDFDocuments/u/G/TBTN22/BDI298A1.DOCX")</f>
      </c>
      <c r="Q1033" s="6">
        <f>HYPERLINK("https://docs.wto.org/imrd/directdoc.asp?DDFDocuments/v/G/TBTN22/BDI298A1.DOCX", "https://docs.wto.org/imrd/directdoc.asp?DDFDocuments/v/G/TBTN22/BDI298A1.DOCX")</f>
      </c>
    </row>
    <row r="1034">
      <c r="A1034" s="6" t="s">
        <v>115</v>
      </c>
      <c r="B1034" s="7">
        <v>45496</v>
      </c>
      <c r="C1034" s="6">
        <f>HYPERLINK("https://eping.wto.org/en/Search?viewData= G/TBT/N/BRA/1517/Add.1"," G/TBT/N/BRA/1517/Add.1")</f>
      </c>
      <c r="D1034" s="8" t="s">
        <v>3528</v>
      </c>
      <c r="E1034" s="8" t="s">
        <v>3529</v>
      </c>
      <c r="F1034" s="8" t="s">
        <v>3530</v>
      </c>
      <c r="G1034" s="6" t="s">
        <v>40</v>
      </c>
      <c r="H1034" s="6" t="s">
        <v>159</v>
      </c>
      <c r="I1034" s="6" t="s">
        <v>147</v>
      </c>
      <c r="J1034" s="6" t="s">
        <v>154</v>
      </c>
      <c r="K1034" s="6"/>
      <c r="L1034" s="7" t="s">
        <v>40</v>
      </c>
      <c r="M1034" s="6" t="s">
        <v>76</v>
      </c>
      <c r="N1034" s="8" t="s">
        <v>3531</v>
      </c>
      <c r="O1034" s="6">
        <f>HYPERLINK("https://docs.wto.org/imrd/directdoc.asp?DDFDocuments/t/G/TBTN24/BRA1517A1.DOCX", "https://docs.wto.org/imrd/directdoc.asp?DDFDocuments/t/G/TBTN24/BRA1517A1.DOCX")</f>
      </c>
      <c r="P1034" s="6">
        <f>HYPERLINK("https://docs.wto.org/imrd/directdoc.asp?DDFDocuments/u/G/TBTN24/BRA1517A1.DOCX", "https://docs.wto.org/imrd/directdoc.asp?DDFDocuments/u/G/TBTN24/BRA1517A1.DOCX")</f>
      </c>
      <c r="Q1034" s="6">
        <f>HYPERLINK("https://docs.wto.org/imrd/directdoc.asp?DDFDocuments/v/G/TBTN24/BRA1517A1.DOCX", "https://docs.wto.org/imrd/directdoc.asp?DDFDocuments/v/G/TBTN24/BRA1517A1.DOCX")</f>
      </c>
    </row>
    <row r="1035">
      <c r="A1035" s="6" t="s">
        <v>595</v>
      </c>
      <c r="B1035" s="7">
        <v>45496</v>
      </c>
      <c r="C1035" s="6">
        <f>HYPERLINK("https://eping.wto.org/en/Search?viewData= G/SPS/N/SGP/84/Add.1"," G/SPS/N/SGP/84/Add.1")</f>
      </c>
      <c r="D1035" s="8" t="s">
        <v>3532</v>
      </c>
      <c r="E1035" s="8" t="s">
        <v>3533</v>
      </c>
      <c r="F1035" s="8" t="s">
        <v>3534</v>
      </c>
      <c r="G1035" s="6" t="s">
        <v>40</v>
      </c>
      <c r="H1035" s="6" t="s">
        <v>40</v>
      </c>
      <c r="I1035" s="6" t="s">
        <v>38</v>
      </c>
      <c r="J1035" s="6" t="s">
        <v>3535</v>
      </c>
      <c r="K1035" s="6"/>
      <c r="L1035" s="7" t="s">
        <v>40</v>
      </c>
      <c r="M1035" s="6" t="s">
        <v>76</v>
      </c>
      <c r="N1035" s="6"/>
      <c r="O1035" s="6">
        <f>HYPERLINK("https://docs.wto.org/imrd/directdoc.asp?DDFDocuments/t/G/SPS/NSGP84A1.DOCX", "https://docs.wto.org/imrd/directdoc.asp?DDFDocuments/t/G/SPS/NSGP84A1.DOCX")</f>
      </c>
      <c r="P1035" s="6">
        <f>HYPERLINK("https://docs.wto.org/imrd/directdoc.asp?DDFDocuments/u/G/SPS/NSGP84A1.DOCX", "https://docs.wto.org/imrd/directdoc.asp?DDFDocuments/u/G/SPS/NSGP84A1.DOCX")</f>
      </c>
      <c r="Q1035" s="6">
        <f>HYPERLINK("https://docs.wto.org/imrd/directdoc.asp?DDFDocuments/v/G/SPS/NSGP84A1.DOCX", "https://docs.wto.org/imrd/directdoc.asp?DDFDocuments/v/G/SPS/NSGP84A1.DOCX")</f>
      </c>
    </row>
    <row r="1036">
      <c r="A1036" s="6" t="s">
        <v>880</v>
      </c>
      <c r="B1036" s="7">
        <v>45496</v>
      </c>
      <c r="C1036" s="6">
        <f>HYPERLINK("https://eping.wto.org/en/Search?viewData= G/TBT/N/BDI/316/Add.1, G/TBT/N/KEN/1365/Add.1, G/TBT/N/RWA/757/Add.1, G/TBT/N/TZA/880/Add.1, G/TBT/N/UGA/1727/Add.1"," G/TBT/N/BDI/316/Add.1, G/TBT/N/KEN/1365/Add.1, G/TBT/N/RWA/757/Add.1, G/TBT/N/TZA/880/Add.1, G/TBT/N/UGA/1727/Add.1")</f>
      </c>
      <c r="D1036" s="8" t="s">
        <v>3487</v>
      </c>
      <c r="E1036" s="8" t="s">
        <v>3488</v>
      </c>
      <c r="F1036" s="8" t="s">
        <v>3332</v>
      </c>
      <c r="G1036" s="6" t="s">
        <v>3489</v>
      </c>
      <c r="H1036" s="6" t="s">
        <v>3490</v>
      </c>
      <c r="I1036" s="6" t="s">
        <v>3334</v>
      </c>
      <c r="J1036" s="6" t="s">
        <v>40</v>
      </c>
      <c r="K1036" s="6"/>
      <c r="L1036" s="7" t="s">
        <v>40</v>
      </c>
      <c r="M1036" s="6" t="s">
        <v>76</v>
      </c>
      <c r="N1036" s="6"/>
      <c r="O1036" s="6">
        <f>HYPERLINK("https://docs.wto.org/imrd/directdoc.asp?DDFDocuments/t/G/TBTN23/BDI316A1.DOCX", "https://docs.wto.org/imrd/directdoc.asp?DDFDocuments/t/G/TBTN23/BDI316A1.DOCX")</f>
      </c>
      <c r="P1036" s="6">
        <f>HYPERLINK("https://docs.wto.org/imrd/directdoc.asp?DDFDocuments/u/G/TBTN23/BDI316A1.DOCX", "https://docs.wto.org/imrd/directdoc.asp?DDFDocuments/u/G/TBTN23/BDI316A1.DOCX")</f>
      </c>
      <c r="Q1036" s="6">
        <f>HYPERLINK("https://docs.wto.org/imrd/directdoc.asp?DDFDocuments/v/G/TBTN23/BDI316A1.DOCX", "https://docs.wto.org/imrd/directdoc.asp?DDFDocuments/v/G/TBTN23/BDI316A1.DOCX")</f>
      </c>
    </row>
    <row r="1037">
      <c r="A1037" s="6" t="s">
        <v>2041</v>
      </c>
      <c r="B1037" s="7">
        <v>45496</v>
      </c>
      <c r="C1037" s="6">
        <f>HYPERLINK("https://eping.wto.org/en/Search?viewData= G/TBT/N/BDI/404/Add.1, G/TBT/N/KEN/1499/Add.1, G/TBT/N/RWA/928/Add.1, G/TBT/N/TZA/1032/Add.1, G/TBT/N/UGA/1839/Add.1"," G/TBT/N/BDI/404/Add.1, G/TBT/N/KEN/1499/Add.1, G/TBT/N/RWA/928/Add.1, G/TBT/N/TZA/1032/Add.1, G/TBT/N/UGA/1839/Add.1")</f>
      </c>
      <c r="D1037" s="8" t="s">
        <v>3474</v>
      </c>
      <c r="E1037" s="8" t="s">
        <v>3475</v>
      </c>
      <c r="F1037" s="8" t="s">
        <v>3476</v>
      </c>
      <c r="G1037" s="6" t="s">
        <v>3477</v>
      </c>
      <c r="H1037" s="6" t="s">
        <v>3036</v>
      </c>
      <c r="I1037" s="6" t="s">
        <v>3280</v>
      </c>
      <c r="J1037" s="6" t="s">
        <v>122</v>
      </c>
      <c r="K1037" s="6"/>
      <c r="L1037" s="7" t="s">
        <v>40</v>
      </c>
      <c r="M1037" s="6" t="s">
        <v>76</v>
      </c>
      <c r="N1037" s="6"/>
      <c r="O1037" s="6">
        <f>HYPERLINK("https://docs.wto.org/imrd/directdoc.asp?DDFDocuments/t/G/TBTN23/BDI404A1.DOCX", "https://docs.wto.org/imrd/directdoc.asp?DDFDocuments/t/G/TBTN23/BDI404A1.DOCX")</f>
      </c>
      <c r="P1037" s="6">
        <f>HYPERLINK("https://docs.wto.org/imrd/directdoc.asp?DDFDocuments/u/G/TBTN23/BDI404A1.DOCX", "https://docs.wto.org/imrd/directdoc.asp?DDFDocuments/u/G/TBTN23/BDI404A1.DOCX")</f>
      </c>
      <c r="Q1037" s="6">
        <f>HYPERLINK("https://docs.wto.org/imrd/directdoc.asp?DDFDocuments/v/G/TBTN23/BDI404A1.DOCX", "https://docs.wto.org/imrd/directdoc.asp?DDFDocuments/v/G/TBTN23/BDI404A1.DOCX")</f>
      </c>
    </row>
    <row r="1038">
      <c r="A1038" s="6" t="s">
        <v>880</v>
      </c>
      <c r="B1038" s="7">
        <v>45496</v>
      </c>
      <c r="C1038" s="6">
        <f>HYPERLINK("https://eping.wto.org/en/Search?viewData= G/TBT/N/BDI/404/Add.1, G/TBT/N/KEN/1499/Add.1, G/TBT/N/RWA/928/Add.1, G/TBT/N/TZA/1032/Add.1, G/TBT/N/UGA/1839/Add.1"," G/TBT/N/BDI/404/Add.1, G/TBT/N/KEN/1499/Add.1, G/TBT/N/RWA/928/Add.1, G/TBT/N/TZA/1032/Add.1, G/TBT/N/UGA/1839/Add.1")</f>
      </c>
      <c r="D1038" s="8" t="s">
        <v>3474</v>
      </c>
      <c r="E1038" s="8" t="s">
        <v>3475</v>
      </c>
      <c r="F1038" s="8" t="s">
        <v>3476</v>
      </c>
      <c r="G1038" s="6" t="s">
        <v>3477</v>
      </c>
      <c r="H1038" s="6" t="s">
        <v>3036</v>
      </c>
      <c r="I1038" s="6" t="s">
        <v>3280</v>
      </c>
      <c r="J1038" s="6" t="s">
        <v>122</v>
      </c>
      <c r="K1038" s="6"/>
      <c r="L1038" s="7" t="s">
        <v>40</v>
      </c>
      <c r="M1038" s="6" t="s">
        <v>76</v>
      </c>
      <c r="N1038" s="6"/>
      <c r="O1038" s="6">
        <f>HYPERLINK("https://docs.wto.org/imrd/directdoc.asp?DDFDocuments/t/G/TBTN23/BDI404A1.DOCX", "https://docs.wto.org/imrd/directdoc.asp?DDFDocuments/t/G/TBTN23/BDI404A1.DOCX")</f>
      </c>
      <c r="P1038" s="6">
        <f>HYPERLINK("https://docs.wto.org/imrd/directdoc.asp?DDFDocuments/u/G/TBTN23/BDI404A1.DOCX", "https://docs.wto.org/imrd/directdoc.asp?DDFDocuments/u/G/TBTN23/BDI404A1.DOCX")</f>
      </c>
      <c r="Q1038" s="6">
        <f>HYPERLINK("https://docs.wto.org/imrd/directdoc.asp?DDFDocuments/v/G/TBTN23/BDI404A1.DOCX", "https://docs.wto.org/imrd/directdoc.asp?DDFDocuments/v/G/TBTN23/BDI404A1.DOCX")</f>
      </c>
    </row>
    <row r="1039">
      <c r="A1039" s="6" t="s">
        <v>2030</v>
      </c>
      <c r="B1039" s="7">
        <v>45496</v>
      </c>
      <c r="C1039" s="6">
        <f>HYPERLINK("https://eping.wto.org/en/Search?viewData= G/TBT/N/BDI/316/Add.1, G/TBT/N/KEN/1365/Add.1, G/TBT/N/RWA/757/Add.1, G/TBT/N/TZA/880/Add.1, G/TBT/N/UGA/1727/Add.1"," G/TBT/N/BDI/316/Add.1, G/TBT/N/KEN/1365/Add.1, G/TBT/N/RWA/757/Add.1, G/TBT/N/TZA/880/Add.1, G/TBT/N/UGA/1727/Add.1")</f>
      </c>
      <c r="D1039" s="8" t="s">
        <v>3487</v>
      </c>
      <c r="E1039" s="8" t="s">
        <v>3488</v>
      </c>
      <c r="F1039" s="8" t="s">
        <v>3332</v>
      </c>
      <c r="G1039" s="6" t="s">
        <v>3489</v>
      </c>
      <c r="H1039" s="6" t="s">
        <v>3490</v>
      </c>
      <c r="I1039" s="6" t="s">
        <v>3334</v>
      </c>
      <c r="J1039" s="6" t="s">
        <v>40</v>
      </c>
      <c r="K1039" s="6"/>
      <c r="L1039" s="7" t="s">
        <v>40</v>
      </c>
      <c r="M1039" s="6" t="s">
        <v>76</v>
      </c>
      <c r="N1039" s="6"/>
      <c r="O1039" s="6">
        <f>HYPERLINK("https://docs.wto.org/imrd/directdoc.asp?DDFDocuments/t/G/TBTN23/BDI316A1.DOCX", "https://docs.wto.org/imrd/directdoc.asp?DDFDocuments/t/G/TBTN23/BDI316A1.DOCX")</f>
      </c>
      <c r="P1039" s="6">
        <f>HYPERLINK("https://docs.wto.org/imrd/directdoc.asp?DDFDocuments/u/G/TBTN23/BDI316A1.DOCX", "https://docs.wto.org/imrd/directdoc.asp?DDFDocuments/u/G/TBTN23/BDI316A1.DOCX")</f>
      </c>
      <c r="Q1039" s="6">
        <f>HYPERLINK("https://docs.wto.org/imrd/directdoc.asp?DDFDocuments/v/G/TBTN23/BDI316A1.DOCX", "https://docs.wto.org/imrd/directdoc.asp?DDFDocuments/v/G/TBTN23/BDI316A1.DOCX")</f>
      </c>
    </row>
    <row r="1040">
      <c r="A1040" s="6" t="s">
        <v>17</v>
      </c>
      <c r="B1040" s="7">
        <v>45495</v>
      </c>
      <c r="C1040" s="6">
        <f>HYPERLINK("https://eping.wto.org/en/Search?viewData= G/SPS/N/KEN/292"," G/SPS/N/KEN/292")</f>
      </c>
      <c r="D1040" s="8" t="s">
        <v>3536</v>
      </c>
      <c r="E1040" s="8" t="s">
        <v>3537</v>
      </c>
      <c r="F1040" s="8" t="s">
        <v>3538</v>
      </c>
      <c r="G1040" s="6" t="s">
        <v>40</v>
      </c>
      <c r="H1040" s="6" t="s">
        <v>3539</v>
      </c>
      <c r="I1040" s="6" t="s">
        <v>38</v>
      </c>
      <c r="J1040" s="6" t="s">
        <v>60</v>
      </c>
      <c r="K1040" s="6" t="s">
        <v>40</v>
      </c>
      <c r="L1040" s="7">
        <v>45508</v>
      </c>
      <c r="M1040" s="6" t="s">
        <v>25</v>
      </c>
      <c r="N1040" s="8" t="s">
        <v>3540</v>
      </c>
      <c r="O1040" s="6">
        <f>HYPERLINK("https://docs.wto.org/imrd/directdoc.asp?DDFDocuments/t/G/SPS/NKEN292.DOCX", "https://docs.wto.org/imrd/directdoc.asp?DDFDocuments/t/G/SPS/NKEN292.DOCX")</f>
      </c>
      <c r="P1040" s="6">
        <f>HYPERLINK("https://docs.wto.org/imrd/directdoc.asp?DDFDocuments/u/G/SPS/NKEN292.DOCX", "https://docs.wto.org/imrd/directdoc.asp?DDFDocuments/u/G/SPS/NKEN292.DOCX")</f>
      </c>
      <c r="Q1040" s="6">
        <f>HYPERLINK("https://docs.wto.org/imrd/directdoc.asp?DDFDocuments/v/G/SPS/NKEN292.DOCX", "https://docs.wto.org/imrd/directdoc.asp?DDFDocuments/v/G/SPS/NKEN292.DOCX")</f>
      </c>
    </row>
    <row r="1041">
      <c r="A1041" s="6" t="s">
        <v>3541</v>
      </c>
      <c r="B1041" s="7">
        <v>45495</v>
      </c>
      <c r="C1041" s="6">
        <f>HYPERLINK("https://eping.wto.org/en/Search?viewData= G/SPS/N/BRN/4"," G/SPS/N/BRN/4")</f>
      </c>
      <c r="D1041" s="8" t="s">
        <v>3542</v>
      </c>
      <c r="E1041" s="8" t="s">
        <v>3543</v>
      </c>
      <c r="F1041" s="8" t="s">
        <v>518</v>
      </c>
      <c r="G1041" s="6" t="s">
        <v>40</v>
      </c>
      <c r="H1041" s="6" t="s">
        <v>40</v>
      </c>
      <c r="I1041" s="6" t="s">
        <v>38</v>
      </c>
      <c r="J1041" s="6" t="s">
        <v>39</v>
      </c>
      <c r="K1041" s="6" t="s">
        <v>40</v>
      </c>
      <c r="L1041" s="7">
        <v>45555</v>
      </c>
      <c r="M1041" s="6" t="s">
        <v>25</v>
      </c>
      <c r="N1041" s="8" t="s">
        <v>3544</v>
      </c>
      <c r="O1041" s="6">
        <f>HYPERLINK("https://docs.wto.org/imrd/directdoc.asp?DDFDocuments/t/G/SPS/NBRN4.DOCX", "https://docs.wto.org/imrd/directdoc.asp?DDFDocuments/t/G/SPS/NBRN4.DOCX")</f>
      </c>
      <c r="P1041" s="6">
        <f>HYPERLINK("https://docs.wto.org/imrd/directdoc.asp?DDFDocuments/u/G/SPS/NBRN4.DOCX", "https://docs.wto.org/imrd/directdoc.asp?DDFDocuments/u/G/SPS/NBRN4.DOCX")</f>
      </c>
      <c r="Q1041" s="6">
        <f>HYPERLINK("https://docs.wto.org/imrd/directdoc.asp?DDFDocuments/v/G/SPS/NBRN4.DOCX", "https://docs.wto.org/imrd/directdoc.asp?DDFDocuments/v/G/SPS/NBRN4.DOCX")</f>
      </c>
    </row>
    <row r="1042">
      <c r="A1042" s="6" t="s">
        <v>99</v>
      </c>
      <c r="B1042" s="7">
        <v>45495</v>
      </c>
      <c r="C1042" s="6">
        <f>HYPERLINK("https://eping.wto.org/en/Search?viewData= G/TBT/N/AUS/171"," G/TBT/N/AUS/171")</f>
      </c>
      <c r="D1042" s="8" t="s">
        <v>3343</v>
      </c>
      <c r="E1042" s="8" t="s">
        <v>3344</v>
      </c>
      <c r="F1042" s="8" t="s">
        <v>1103</v>
      </c>
      <c r="G1042" s="6" t="s">
        <v>3345</v>
      </c>
      <c r="H1042" s="6" t="s">
        <v>1796</v>
      </c>
      <c r="I1042" s="6" t="s">
        <v>142</v>
      </c>
      <c r="J1042" s="6" t="s">
        <v>24</v>
      </c>
      <c r="K1042" s="6"/>
      <c r="L1042" s="7">
        <v>45555</v>
      </c>
      <c r="M1042" s="6" t="s">
        <v>25</v>
      </c>
      <c r="N1042" s="8" t="s">
        <v>3545</v>
      </c>
      <c r="O1042" s="6">
        <f>HYPERLINK("https://docs.wto.org/imrd/directdoc.asp?DDFDocuments/t/G/TBTN24/AUS171.DOCX", "https://docs.wto.org/imrd/directdoc.asp?DDFDocuments/t/G/TBTN24/AUS171.DOCX")</f>
      </c>
      <c r="P1042" s="6">
        <f>HYPERLINK("https://docs.wto.org/imrd/directdoc.asp?DDFDocuments/u/G/TBTN24/AUS171.DOCX", "https://docs.wto.org/imrd/directdoc.asp?DDFDocuments/u/G/TBTN24/AUS171.DOCX")</f>
      </c>
      <c r="Q1042" s="6">
        <f>HYPERLINK("https://docs.wto.org/imrd/directdoc.asp?DDFDocuments/v/G/TBTN24/AUS171.DOCX", "https://docs.wto.org/imrd/directdoc.asp?DDFDocuments/v/G/TBTN24/AUS171.DOCX")</f>
      </c>
    </row>
    <row r="1043">
      <c r="A1043" s="6" t="s">
        <v>160</v>
      </c>
      <c r="B1043" s="7">
        <v>45495</v>
      </c>
      <c r="C1043" s="6">
        <f>HYPERLINK("https://eping.wto.org/en/Search?viewData= G/TBT/N/USA/489/Add.5"," G/TBT/N/USA/489/Add.5")</f>
      </c>
      <c r="D1043" s="8" t="s">
        <v>3546</v>
      </c>
      <c r="E1043" s="8" t="s">
        <v>3547</v>
      </c>
      <c r="F1043" s="8" t="s">
        <v>3548</v>
      </c>
      <c r="G1043" s="6" t="s">
        <v>3549</v>
      </c>
      <c r="H1043" s="6" t="s">
        <v>296</v>
      </c>
      <c r="I1043" s="6" t="s">
        <v>147</v>
      </c>
      <c r="J1043" s="6" t="s">
        <v>40</v>
      </c>
      <c r="K1043" s="6"/>
      <c r="L1043" s="7">
        <v>45505</v>
      </c>
      <c r="M1043" s="6" t="s">
        <v>76</v>
      </c>
      <c r="N1043" s="8" t="s">
        <v>3550</v>
      </c>
      <c r="O1043" s="6">
        <f>HYPERLINK("https://docs.wto.org/imrd/directdoc.asp?DDFDocuments/t/G/TBTN09/USA489A5.DOCX", "https://docs.wto.org/imrd/directdoc.asp?DDFDocuments/t/G/TBTN09/USA489A5.DOCX")</f>
      </c>
      <c r="P1043" s="6">
        <f>HYPERLINK("https://docs.wto.org/imrd/directdoc.asp?DDFDocuments/u/G/TBTN09/USA489A5.DOCX", "https://docs.wto.org/imrd/directdoc.asp?DDFDocuments/u/G/TBTN09/USA489A5.DOCX")</f>
      </c>
      <c r="Q1043" s="6">
        <f>HYPERLINK("https://docs.wto.org/imrd/directdoc.asp?DDFDocuments/v/G/TBTN09/USA489A5.DOCX", "https://docs.wto.org/imrd/directdoc.asp?DDFDocuments/v/G/TBTN09/USA489A5.DOCX")</f>
      </c>
    </row>
    <row r="1044">
      <c r="A1044" s="6" t="s">
        <v>307</v>
      </c>
      <c r="B1044" s="7">
        <v>45495</v>
      </c>
      <c r="C1044" s="6">
        <f>HYPERLINK("https://eping.wto.org/en/Search?viewData= G/SPS/N/CAN/1539/Add.1"," G/SPS/N/CAN/1539/Add.1")</f>
      </c>
      <c r="D1044" s="8" t="s">
        <v>3551</v>
      </c>
      <c r="E1044" s="8" t="s">
        <v>3552</v>
      </c>
      <c r="F1044" s="8" t="s">
        <v>3553</v>
      </c>
      <c r="G1044" s="6" t="s">
        <v>40</v>
      </c>
      <c r="H1044" s="6" t="s">
        <v>320</v>
      </c>
      <c r="I1044" s="6" t="s">
        <v>38</v>
      </c>
      <c r="J1044" s="6" t="s">
        <v>3554</v>
      </c>
      <c r="K1044" s="6"/>
      <c r="L1044" s="7" t="s">
        <v>40</v>
      </c>
      <c r="M1044" s="6" t="s">
        <v>76</v>
      </c>
      <c r="N1044" s="6"/>
      <c r="O1044" s="6">
        <f>HYPERLINK("https://docs.wto.org/imrd/directdoc.asp?DDFDocuments/t/G/SPS/NCAN1539A1.DOCX", "https://docs.wto.org/imrd/directdoc.asp?DDFDocuments/t/G/SPS/NCAN1539A1.DOCX")</f>
      </c>
      <c r="P1044" s="6">
        <f>HYPERLINK("https://docs.wto.org/imrd/directdoc.asp?DDFDocuments/u/G/SPS/NCAN1539A1.DOCX", "https://docs.wto.org/imrd/directdoc.asp?DDFDocuments/u/G/SPS/NCAN1539A1.DOCX")</f>
      </c>
      <c r="Q1044" s="6">
        <f>HYPERLINK("https://docs.wto.org/imrd/directdoc.asp?DDFDocuments/v/G/SPS/NCAN1539A1.DOCX", "https://docs.wto.org/imrd/directdoc.asp?DDFDocuments/v/G/SPS/NCAN1539A1.DOCX")</f>
      </c>
    </row>
    <row r="1045">
      <c r="A1045" s="6" t="s">
        <v>115</v>
      </c>
      <c r="B1045" s="7">
        <v>45495</v>
      </c>
      <c r="C1045" s="6">
        <f>HYPERLINK("https://eping.wto.org/en/Search?viewData= G/SPS/N/BRA/2313"," G/SPS/N/BRA/2313")</f>
      </c>
      <c r="D1045" s="8" t="s">
        <v>3555</v>
      </c>
      <c r="E1045" s="8" t="s">
        <v>3556</v>
      </c>
      <c r="F1045" s="8" t="s">
        <v>3557</v>
      </c>
      <c r="G1045" s="6" t="s">
        <v>3558</v>
      </c>
      <c r="H1045" s="6" t="s">
        <v>40</v>
      </c>
      <c r="I1045" s="6" t="s">
        <v>184</v>
      </c>
      <c r="J1045" s="6" t="s">
        <v>1075</v>
      </c>
      <c r="K1045" s="6" t="s">
        <v>2672</v>
      </c>
      <c r="L1045" s="7" t="s">
        <v>40</v>
      </c>
      <c r="M1045" s="6" t="s">
        <v>25</v>
      </c>
      <c r="N1045" s="8" t="s">
        <v>3559</v>
      </c>
      <c r="O1045" s="6">
        <f>HYPERLINK("https://docs.wto.org/imrd/directdoc.asp?DDFDocuments/t/G/SPS/NBRA2313.DOCX", "https://docs.wto.org/imrd/directdoc.asp?DDFDocuments/t/G/SPS/NBRA2313.DOCX")</f>
      </c>
      <c r="P1045" s="6">
        <f>HYPERLINK("https://docs.wto.org/imrd/directdoc.asp?DDFDocuments/u/G/SPS/NBRA2313.DOCX", "https://docs.wto.org/imrd/directdoc.asp?DDFDocuments/u/G/SPS/NBRA2313.DOCX")</f>
      </c>
      <c r="Q1045" s="6">
        <f>HYPERLINK("https://docs.wto.org/imrd/directdoc.asp?DDFDocuments/v/G/SPS/NBRA2313.DOCX", "https://docs.wto.org/imrd/directdoc.asp?DDFDocuments/v/G/SPS/NBRA2313.DOCX")</f>
      </c>
    </row>
    <row r="1046">
      <c r="A1046" s="6" t="s">
        <v>198</v>
      </c>
      <c r="B1046" s="7">
        <v>45495</v>
      </c>
      <c r="C1046" s="6">
        <f>HYPERLINK("https://eping.wto.org/en/Search?viewData= G/SPS/N/CHL/791/Add.1"," G/SPS/N/CHL/791/Add.1")</f>
      </c>
      <c r="D1046" s="8" t="s">
        <v>3560</v>
      </c>
      <c r="E1046" s="8" t="s">
        <v>3560</v>
      </c>
      <c r="F1046" s="8" t="s">
        <v>3561</v>
      </c>
      <c r="G1046" s="6" t="s">
        <v>3562</v>
      </c>
      <c r="H1046" s="6" t="s">
        <v>40</v>
      </c>
      <c r="I1046" s="6" t="s">
        <v>369</v>
      </c>
      <c r="J1046" s="6" t="s">
        <v>3563</v>
      </c>
      <c r="K1046" s="6"/>
      <c r="L1046" s="7" t="s">
        <v>40</v>
      </c>
      <c r="M1046" s="6" t="s">
        <v>76</v>
      </c>
      <c r="N1046" s="8" t="s">
        <v>3564</v>
      </c>
      <c r="O1046" s="6">
        <f>HYPERLINK("https://docs.wto.org/imrd/directdoc.asp?DDFDocuments/t/G/SPS/NCHL791A1.DOCX", "https://docs.wto.org/imrd/directdoc.asp?DDFDocuments/t/G/SPS/NCHL791A1.DOCX")</f>
      </c>
      <c r="P1046" s="6">
        <f>HYPERLINK("https://docs.wto.org/imrd/directdoc.asp?DDFDocuments/u/G/SPS/NCHL791A1.DOCX", "https://docs.wto.org/imrd/directdoc.asp?DDFDocuments/u/G/SPS/NCHL791A1.DOCX")</f>
      </c>
      <c r="Q1046" s="6">
        <f>HYPERLINK("https://docs.wto.org/imrd/directdoc.asp?DDFDocuments/v/G/SPS/NCHL791A1.DOCX", "https://docs.wto.org/imrd/directdoc.asp?DDFDocuments/v/G/SPS/NCHL791A1.DOCX")</f>
      </c>
    </row>
    <row r="1047">
      <c r="A1047" s="6" t="s">
        <v>392</v>
      </c>
      <c r="B1047" s="7">
        <v>45495</v>
      </c>
      <c r="C1047" s="6">
        <f>HYPERLINK("https://eping.wto.org/en/Search?viewData= G/SPS/N/SAU/491/Add.1"," G/SPS/N/SAU/491/Add.1")</f>
      </c>
      <c r="D1047" s="8" t="s">
        <v>3565</v>
      </c>
      <c r="E1047" s="8" t="s">
        <v>3566</v>
      </c>
      <c r="F1047" s="8" t="s">
        <v>1008</v>
      </c>
      <c r="G1047" s="6" t="s">
        <v>40</v>
      </c>
      <c r="H1047" s="6" t="s">
        <v>3567</v>
      </c>
      <c r="I1047" s="6" t="s">
        <v>353</v>
      </c>
      <c r="J1047" s="6" t="s">
        <v>3568</v>
      </c>
      <c r="K1047" s="6"/>
      <c r="L1047" s="7" t="s">
        <v>40</v>
      </c>
      <c r="M1047" s="6" t="s">
        <v>3186</v>
      </c>
      <c r="N1047" s="8" t="s">
        <v>3569</v>
      </c>
      <c r="O1047" s="6">
        <f>HYPERLINK("https://docs.wto.org/imrd/directdoc.asp?DDFDocuments/t/G/SPS/NSAU491A1.DOCX", "https://docs.wto.org/imrd/directdoc.asp?DDFDocuments/t/G/SPS/NSAU491A1.DOCX")</f>
      </c>
      <c r="P1047" s="6">
        <f>HYPERLINK("https://docs.wto.org/imrd/directdoc.asp?DDFDocuments/u/G/SPS/NSAU491A1.DOCX", "https://docs.wto.org/imrd/directdoc.asp?DDFDocuments/u/G/SPS/NSAU491A1.DOCX")</f>
      </c>
      <c r="Q1047" s="6">
        <f>HYPERLINK("https://docs.wto.org/imrd/directdoc.asp?DDFDocuments/v/G/SPS/NSAU491A1.DOCX", "https://docs.wto.org/imrd/directdoc.asp?DDFDocuments/v/G/SPS/NSAU491A1.DOCX")</f>
      </c>
    </row>
    <row r="1048">
      <c r="A1048" s="6" t="s">
        <v>307</v>
      </c>
      <c r="B1048" s="7">
        <v>45495</v>
      </c>
      <c r="C1048" s="6">
        <f>HYPERLINK("https://eping.wto.org/en/Search?viewData= G/SPS/N/CAN/1565"," G/SPS/N/CAN/1565")</f>
      </c>
      <c r="D1048" s="8" t="s">
        <v>3570</v>
      </c>
      <c r="E1048" s="8" t="s">
        <v>3571</v>
      </c>
      <c r="F1048" s="8" t="s">
        <v>3572</v>
      </c>
      <c r="G1048" s="6" t="s">
        <v>40</v>
      </c>
      <c r="H1048" s="6" t="s">
        <v>315</v>
      </c>
      <c r="I1048" s="6" t="s">
        <v>38</v>
      </c>
      <c r="J1048" s="6" t="s">
        <v>39</v>
      </c>
      <c r="K1048" s="6" t="s">
        <v>40</v>
      </c>
      <c r="L1048" s="7">
        <v>45553</v>
      </c>
      <c r="M1048" s="6" t="s">
        <v>25</v>
      </c>
      <c r="N1048" s="6"/>
      <c r="O1048" s="6">
        <f>HYPERLINK("https://docs.wto.org/imrd/directdoc.asp?DDFDocuments/t/G/SPS/NCAN1565.DOCX", "https://docs.wto.org/imrd/directdoc.asp?DDFDocuments/t/G/SPS/NCAN1565.DOCX")</f>
      </c>
      <c r="P1048" s="6">
        <f>HYPERLINK("https://docs.wto.org/imrd/directdoc.asp?DDFDocuments/u/G/SPS/NCAN1565.DOCX", "https://docs.wto.org/imrd/directdoc.asp?DDFDocuments/u/G/SPS/NCAN1565.DOCX")</f>
      </c>
      <c r="Q1048" s="6">
        <f>HYPERLINK("https://docs.wto.org/imrd/directdoc.asp?DDFDocuments/v/G/SPS/NCAN1565.DOCX", "https://docs.wto.org/imrd/directdoc.asp?DDFDocuments/v/G/SPS/NCAN1565.DOCX")</f>
      </c>
    </row>
    <row r="1049">
      <c r="A1049" s="6" t="s">
        <v>1650</v>
      </c>
      <c r="B1049" s="7">
        <v>45495</v>
      </c>
      <c r="C1049" s="6">
        <f>HYPERLINK("https://eping.wto.org/en/Search?viewData= G/SPS/N/URY/83"," G/SPS/N/URY/83")</f>
      </c>
      <c r="D1049" s="8" t="s">
        <v>3573</v>
      </c>
      <c r="E1049" s="8" t="s">
        <v>3574</v>
      </c>
      <c r="F1049" s="8" t="s">
        <v>3575</v>
      </c>
      <c r="G1049" s="6" t="s">
        <v>3576</v>
      </c>
      <c r="H1049" s="6" t="s">
        <v>40</v>
      </c>
      <c r="I1049" s="6" t="s">
        <v>369</v>
      </c>
      <c r="J1049" s="6" t="s">
        <v>370</v>
      </c>
      <c r="K1049" s="6" t="s">
        <v>3577</v>
      </c>
      <c r="L1049" s="7" t="s">
        <v>40</v>
      </c>
      <c r="M1049" s="6" t="s">
        <v>25</v>
      </c>
      <c r="N1049" s="8" t="s">
        <v>3578</v>
      </c>
      <c r="O1049" s="6">
        <f>HYPERLINK("https://docs.wto.org/imrd/directdoc.asp?DDFDocuments/t/G/SPS/NURY83.DOCX", "https://docs.wto.org/imrd/directdoc.asp?DDFDocuments/t/G/SPS/NURY83.DOCX")</f>
      </c>
      <c r="P1049" s="6">
        <f>HYPERLINK("https://docs.wto.org/imrd/directdoc.asp?DDFDocuments/u/G/SPS/NURY83.DOCX", "https://docs.wto.org/imrd/directdoc.asp?DDFDocuments/u/G/SPS/NURY83.DOCX")</f>
      </c>
      <c r="Q1049" s="6">
        <f>HYPERLINK("https://docs.wto.org/imrd/directdoc.asp?DDFDocuments/v/G/SPS/NURY83.DOCX", "https://docs.wto.org/imrd/directdoc.asp?DDFDocuments/v/G/SPS/NURY83.DOCX")</f>
      </c>
    </row>
    <row r="1050">
      <c r="A1050" s="6" t="s">
        <v>198</v>
      </c>
      <c r="B1050" s="7">
        <v>45495</v>
      </c>
      <c r="C1050" s="6">
        <f>HYPERLINK("https://eping.wto.org/en/Search?viewData= G/SPS/N/CHL/797"," G/SPS/N/CHL/797")</f>
      </c>
      <c r="D1050" s="8" t="s">
        <v>3579</v>
      </c>
      <c r="E1050" s="8" t="s">
        <v>3580</v>
      </c>
      <c r="F1050" s="8" t="s">
        <v>3581</v>
      </c>
      <c r="G1050" s="6" t="s">
        <v>40</v>
      </c>
      <c r="H1050" s="6" t="s">
        <v>40</v>
      </c>
      <c r="I1050" s="6" t="s">
        <v>353</v>
      </c>
      <c r="J1050" s="6" t="s">
        <v>915</v>
      </c>
      <c r="K1050" s="6" t="s">
        <v>40</v>
      </c>
      <c r="L1050" s="7">
        <v>45555</v>
      </c>
      <c r="M1050" s="6" t="s">
        <v>25</v>
      </c>
      <c r="N1050" s="8" t="s">
        <v>3582</v>
      </c>
      <c r="O1050" s="6">
        <f>HYPERLINK("https://docs.wto.org/imrd/directdoc.asp?DDFDocuments/t/G/SPS/NCHL797.DOCX", "https://docs.wto.org/imrd/directdoc.asp?DDFDocuments/t/G/SPS/NCHL797.DOCX")</f>
      </c>
      <c r="P1050" s="6">
        <f>HYPERLINK("https://docs.wto.org/imrd/directdoc.asp?DDFDocuments/u/G/SPS/NCHL797.DOCX", "https://docs.wto.org/imrd/directdoc.asp?DDFDocuments/u/G/SPS/NCHL797.DOCX")</f>
      </c>
      <c r="Q1050" s="6">
        <f>HYPERLINK("https://docs.wto.org/imrd/directdoc.asp?DDFDocuments/v/G/SPS/NCHL797.DOCX", "https://docs.wto.org/imrd/directdoc.asp?DDFDocuments/v/G/SPS/NCHL797.DOCX")</f>
      </c>
    </row>
    <row r="1051">
      <c r="A1051" s="6" t="s">
        <v>392</v>
      </c>
      <c r="B1051" s="7">
        <v>45495</v>
      </c>
      <c r="C1051" s="6">
        <f>HYPERLINK("https://eping.wto.org/en/Search?viewData= G/SPS/N/SAU/508/Add.1"," G/SPS/N/SAU/508/Add.1")</f>
      </c>
      <c r="D1051" s="8" t="s">
        <v>3583</v>
      </c>
      <c r="E1051" s="8" t="s">
        <v>3584</v>
      </c>
      <c r="F1051" s="8" t="s">
        <v>1008</v>
      </c>
      <c r="G1051" s="6" t="s">
        <v>3585</v>
      </c>
      <c r="H1051" s="6" t="s">
        <v>40</v>
      </c>
      <c r="I1051" s="6" t="s">
        <v>353</v>
      </c>
      <c r="J1051" s="6" t="s">
        <v>3586</v>
      </c>
      <c r="K1051" s="6"/>
      <c r="L1051" s="7" t="s">
        <v>40</v>
      </c>
      <c r="M1051" s="6" t="s">
        <v>3186</v>
      </c>
      <c r="N1051" s="8" t="s">
        <v>3587</v>
      </c>
      <c r="O1051" s="6">
        <f>HYPERLINK("https://docs.wto.org/imrd/directdoc.asp?DDFDocuments/t/G/SPS/NSAU508A1.DOCX", "https://docs.wto.org/imrd/directdoc.asp?DDFDocuments/t/G/SPS/NSAU508A1.DOCX")</f>
      </c>
      <c r="P1051" s="6">
        <f>HYPERLINK("https://docs.wto.org/imrd/directdoc.asp?DDFDocuments/u/G/SPS/NSAU508A1.DOCX", "https://docs.wto.org/imrd/directdoc.asp?DDFDocuments/u/G/SPS/NSAU508A1.DOCX")</f>
      </c>
      <c r="Q1051" s="6">
        <f>HYPERLINK("https://docs.wto.org/imrd/directdoc.asp?DDFDocuments/v/G/SPS/NSAU508A1.DOCX", "https://docs.wto.org/imrd/directdoc.asp?DDFDocuments/v/G/SPS/NSAU508A1.DOCX")</f>
      </c>
    </row>
    <row r="1052">
      <c r="A1052" s="6" t="s">
        <v>198</v>
      </c>
      <c r="B1052" s="7">
        <v>45495</v>
      </c>
      <c r="C1052" s="6">
        <f>HYPERLINK("https://eping.wto.org/en/Search?viewData= G/SPS/N/CHL/744/Rev.1"," G/SPS/N/CHL/744/Rev.1")</f>
      </c>
      <c r="D1052" s="8" t="s">
        <v>3588</v>
      </c>
      <c r="E1052" s="8" t="s">
        <v>3589</v>
      </c>
      <c r="F1052" s="8" t="s">
        <v>3590</v>
      </c>
      <c r="G1052" s="6" t="s">
        <v>3591</v>
      </c>
      <c r="H1052" s="6" t="s">
        <v>40</v>
      </c>
      <c r="I1052" s="6" t="s">
        <v>2426</v>
      </c>
      <c r="J1052" s="6" t="s">
        <v>3592</v>
      </c>
      <c r="K1052" s="6" t="s">
        <v>124</v>
      </c>
      <c r="L1052" s="7" t="s">
        <v>40</v>
      </c>
      <c r="M1052" s="6" t="s">
        <v>3593</v>
      </c>
      <c r="N1052" s="8" t="s">
        <v>3594</v>
      </c>
      <c r="O1052" s="6">
        <f>HYPERLINK("https://docs.wto.org/imrd/directdoc.asp?DDFDocuments/t/G/SPS/NCHL744R1.DOCX", "https://docs.wto.org/imrd/directdoc.asp?DDFDocuments/t/G/SPS/NCHL744R1.DOCX")</f>
      </c>
      <c r="P1052" s="6">
        <f>HYPERLINK("https://docs.wto.org/imrd/directdoc.asp?DDFDocuments/u/G/SPS/NCHL744R1.DOCX", "https://docs.wto.org/imrd/directdoc.asp?DDFDocuments/u/G/SPS/NCHL744R1.DOCX")</f>
      </c>
      <c r="Q1052" s="6">
        <f>HYPERLINK("https://docs.wto.org/imrd/directdoc.asp?DDFDocuments/v/G/SPS/NCHL744R1.DOCX", "https://docs.wto.org/imrd/directdoc.asp?DDFDocuments/v/G/SPS/NCHL744R1.DOCX")</f>
      </c>
    </row>
    <row r="1053">
      <c r="A1053" s="6" t="s">
        <v>392</v>
      </c>
      <c r="B1053" s="7">
        <v>45495</v>
      </c>
      <c r="C1053" s="6">
        <f>HYPERLINK("https://eping.wto.org/en/Search?viewData= G/SPS/N/SAU/506/Add.1"," G/SPS/N/SAU/506/Add.1")</f>
      </c>
      <c r="D1053" s="8" t="s">
        <v>3595</v>
      </c>
      <c r="E1053" s="8" t="s">
        <v>3596</v>
      </c>
      <c r="F1053" s="8" t="s">
        <v>1008</v>
      </c>
      <c r="G1053" s="6" t="s">
        <v>3597</v>
      </c>
      <c r="H1053" s="6" t="s">
        <v>40</v>
      </c>
      <c r="I1053" s="6" t="s">
        <v>353</v>
      </c>
      <c r="J1053" s="6" t="s">
        <v>3598</v>
      </c>
      <c r="K1053" s="6"/>
      <c r="L1053" s="7" t="s">
        <v>40</v>
      </c>
      <c r="M1053" s="6" t="s">
        <v>3186</v>
      </c>
      <c r="N1053" s="8" t="s">
        <v>3599</v>
      </c>
      <c r="O1053" s="6">
        <f>HYPERLINK("https://docs.wto.org/imrd/directdoc.asp?DDFDocuments/t/G/SPS/NSAU506A1.DOCX", "https://docs.wto.org/imrd/directdoc.asp?DDFDocuments/t/G/SPS/NSAU506A1.DOCX")</f>
      </c>
      <c r="P1053" s="6">
        <f>HYPERLINK("https://docs.wto.org/imrd/directdoc.asp?DDFDocuments/u/G/SPS/NSAU506A1.DOCX", "https://docs.wto.org/imrd/directdoc.asp?DDFDocuments/u/G/SPS/NSAU506A1.DOCX")</f>
      </c>
      <c r="Q1053" s="6">
        <f>HYPERLINK("https://docs.wto.org/imrd/directdoc.asp?DDFDocuments/v/G/SPS/NSAU506A1.DOCX", "https://docs.wto.org/imrd/directdoc.asp?DDFDocuments/v/G/SPS/NSAU506A1.DOCX")</f>
      </c>
    </row>
    <row r="1054">
      <c r="A1054" s="6" t="s">
        <v>1650</v>
      </c>
      <c r="B1054" s="7">
        <v>45495</v>
      </c>
      <c r="C1054" s="6">
        <f>HYPERLINK("https://eping.wto.org/en/Search?viewData= G/SPS/N/URY/82"," G/SPS/N/URY/82")</f>
      </c>
      <c r="D1054" s="8" t="s">
        <v>3600</v>
      </c>
      <c r="E1054" s="8" t="s">
        <v>3601</v>
      </c>
      <c r="F1054" s="8" t="s">
        <v>3602</v>
      </c>
      <c r="G1054" s="6" t="s">
        <v>3603</v>
      </c>
      <c r="H1054" s="6" t="s">
        <v>40</v>
      </c>
      <c r="I1054" s="6" t="s">
        <v>353</v>
      </c>
      <c r="J1054" s="6" t="s">
        <v>915</v>
      </c>
      <c r="K1054" s="6" t="s">
        <v>40</v>
      </c>
      <c r="L1054" s="7">
        <v>45555</v>
      </c>
      <c r="M1054" s="6" t="s">
        <v>25</v>
      </c>
      <c r="N1054" s="8" t="s">
        <v>3604</v>
      </c>
      <c r="O1054" s="6">
        <f>HYPERLINK("https://docs.wto.org/imrd/directdoc.asp?DDFDocuments/t/G/SPS/NURY82.DOCX", "https://docs.wto.org/imrd/directdoc.asp?DDFDocuments/t/G/SPS/NURY82.DOCX")</f>
      </c>
      <c r="P1054" s="6">
        <f>HYPERLINK("https://docs.wto.org/imrd/directdoc.asp?DDFDocuments/u/G/SPS/NURY82.DOCX", "https://docs.wto.org/imrd/directdoc.asp?DDFDocuments/u/G/SPS/NURY82.DOCX")</f>
      </c>
      <c r="Q1054" s="6">
        <f>HYPERLINK("https://docs.wto.org/imrd/directdoc.asp?DDFDocuments/v/G/SPS/NURY82.DOCX", "https://docs.wto.org/imrd/directdoc.asp?DDFDocuments/v/G/SPS/NURY82.DOCX")</f>
      </c>
    </row>
    <row r="1055">
      <c r="A1055" s="6" t="s">
        <v>1650</v>
      </c>
      <c r="B1055" s="7">
        <v>45495</v>
      </c>
      <c r="C1055" s="6">
        <f>HYPERLINK("https://eping.wto.org/en/Search?viewData= G/SPS/N/URY/84"," G/SPS/N/URY/84")</f>
      </c>
      <c r="D1055" s="8" t="s">
        <v>3605</v>
      </c>
      <c r="E1055" s="8" t="s">
        <v>3606</v>
      </c>
      <c r="F1055" s="8" t="s">
        <v>3607</v>
      </c>
      <c r="G1055" s="6" t="s">
        <v>3603</v>
      </c>
      <c r="H1055" s="6" t="s">
        <v>40</v>
      </c>
      <c r="I1055" s="6" t="s">
        <v>353</v>
      </c>
      <c r="J1055" s="6" t="s">
        <v>915</v>
      </c>
      <c r="K1055" s="6" t="s">
        <v>40</v>
      </c>
      <c r="L1055" s="7">
        <v>45555</v>
      </c>
      <c r="M1055" s="6" t="s">
        <v>25</v>
      </c>
      <c r="N1055" s="8" t="s">
        <v>3608</v>
      </c>
      <c r="O1055" s="6">
        <f>HYPERLINK("https://docs.wto.org/imrd/directdoc.asp?DDFDocuments/t/G/SPS/NURY84.DOCX", "https://docs.wto.org/imrd/directdoc.asp?DDFDocuments/t/G/SPS/NURY84.DOCX")</f>
      </c>
      <c r="P1055" s="6">
        <f>HYPERLINK("https://docs.wto.org/imrd/directdoc.asp?DDFDocuments/u/G/SPS/NURY84.DOCX", "https://docs.wto.org/imrd/directdoc.asp?DDFDocuments/u/G/SPS/NURY84.DOCX")</f>
      </c>
      <c r="Q1055" s="6">
        <f>HYPERLINK("https://docs.wto.org/imrd/directdoc.asp?DDFDocuments/v/G/SPS/NURY84.DOCX", "https://docs.wto.org/imrd/directdoc.asp?DDFDocuments/v/G/SPS/NURY84.DOCX")</f>
      </c>
    </row>
    <row r="1056">
      <c r="A1056" s="6" t="s">
        <v>515</v>
      </c>
      <c r="B1056" s="7">
        <v>45495</v>
      </c>
      <c r="C1056" s="6">
        <f>HYPERLINK("https://eping.wto.org/en/Search?viewData= G/SPS/N/EU/788"," G/SPS/N/EU/788")</f>
      </c>
      <c r="D1056" s="8" t="s">
        <v>3609</v>
      </c>
      <c r="E1056" s="8" t="s">
        <v>3610</v>
      </c>
      <c r="F1056" s="8" t="s">
        <v>3611</v>
      </c>
      <c r="G1056" s="6" t="s">
        <v>3612</v>
      </c>
      <c r="H1056" s="6" t="s">
        <v>40</v>
      </c>
      <c r="I1056" s="6" t="s">
        <v>38</v>
      </c>
      <c r="J1056" s="6" t="s">
        <v>641</v>
      </c>
      <c r="K1056" s="6"/>
      <c r="L1056" s="7">
        <v>45555</v>
      </c>
      <c r="M1056" s="6" t="s">
        <v>25</v>
      </c>
      <c r="N1056" s="8" t="s">
        <v>3613</v>
      </c>
      <c r="O1056" s="6">
        <f>HYPERLINK("https://docs.wto.org/imrd/directdoc.asp?DDFDocuments/t/G/SPS/NEU788.DOCX", "https://docs.wto.org/imrd/directdoc.asp?DDFDocuments/t/G/SPS/NEU788.DOCX")</f>
      </c>
      <c r="P1056" s="6">
        <f>HYPERLINK("https://docs.wto.org/imrd/directdoc.asp?DDFDocuments/u/G/SPS/NEU788.DOCX", "https://docs.wto.org/imrd/directdoc.asp?DDFDocuments/u/G/SPS/NEU788.DOCX")</f>
      </c>
      <c r="Q1056" s="6">
        <f>HYPERLINK("https://docs.wto.org/imrd/directdoc.asp?DDFDocuments/v/G/SPS/NEU788.DOCX", "https://docs.wto.org/imrd/directdoc.asp?DDFDocuments/v/G/SPS/NEU788.DOCX")</f>
      </c>
    </row>
    <row r="1057">
      <c r="A1057" s="6" t="s">
        <v>160</v>
      </c>
      <c r="B1057" s="7">
        <v>45495</v>
      </c>
      <c r="C1057" s="6">
        <f>HYPERLINK("https://eping.wto.org/en/Search?viewData= G/TBT/N/USA/2041/Add.3"," G/TBT/N/USA/2041/Add.3")</f>
      </c>
      <c r="D1057" s="8" t="s">
        <v>2111</v>
      </c>
      <c r="E1057" s="8" t="s">
        <v>3614</v>
      </c>
      <c r="F1057" s="8" t="s">
        <v>2113</v>
      </c>
      <c r="G1057" s="6" t="s">
        <v>40</v>
      </c>
      <c r="H1057" s="6" t="s">
        <v>2114</v>
      </c>
      <c r="I1057" s="6" t="s">
        <v>337</v>
      </c>
      <c r="J1057" s="6" t="s">
        <v>148</v>
      </c>
      <c r="K1057" s="6"/>
      <c r="L1057" s="7">
        <v>45538</v>
      </c>
      <c r="M1057" s="6" t="s">
        <v>76</v>
      </c>
      <c r="N1057" s="8" t="s">
        <v>3615</v>
      </c>
      <c r="O1057" s="6">
        <f>HYPERLINK("https://docs.wto.org/imrd/directdoc.asp?DDFDocuments/t/G/TBTN23/USA2041A3.DOCX", "https://docs.wto.org/imrd/directdoc.asp?DDFDocuments/t/G/TBTN23/USA2041A3.DOCX")</f>
      </c>
      <c r="P1057" s="6">
        <f>HYPERLINK("https://docs.wto.org/imrd/directdoc.asp?DDFDocuments/u/G/TBTN23/USA2041A3.DOCX", "https://docs.wto.org/imrd/directdoc.asp?DDFDocuments/u/G/TBTN23/USA2041A3.DOCX")</f>
      </c>
      <c r="Q1057" s="6">
        <f>HYPERLINK("https://docs.wto.org/imrd/directdoc.asp?DDFDocuments/v/G/TBTN23/USA2041A3.DOCX", "https://docs.wto.org/imrd/directdoc.asp?DDFDocuments/v/G/TBTN23/USA2041A3.DOCX")</f>
      </c>
    </row>
    <row r="1058">
      <c r="A1058" s="6" t="s">
        <v>515</v>
      </c>
      <c r="B1058" s="7">
        <v>45495</v>
      </c>
      <c r="C1058" s="6">
        <f>HYPERLINK("https://eping.wto.org/en/Search?viewData= G/TBT/N/EU/1075"," G/TBT/N/EU/1075")</f>
      </c>
      <c r="D1058" s="8" t="s">
        <v>3616</v>
      </c>
      <c r="E1058" s="8" t="s">
        <v>3617</v>
      </c>
      <c r="F1058" s="8" t="s">
        <v>3618</v>
      </c>
      <c r="G1058" s="6" t="s">
        <v>40</v>
      </c>
      <c r="H1058" s="6" t="s">
        <v>3619</v>
      </c>
      <c r="I1058" s="6" t="s">
        <v>3620</v>
      </c>
      <c r="J1058" s="6" t="s">
        <v>40</v>
      </c>
      <c r="K1058" s="6"/>
      <c r="L1058" s="7">
        <v>45555</v>
      </c>
      <c r="M1058" s="6" t="s">
        <v>25</v>
      </c>
      <c r="N1058" s="8" t="s">
        <v>3621</v>
      </c>
      <c r="O1058" s="6">
        <f>HYPERLINK("https://docs.wto.org/imrd/directdoc.asp?DDFDocuments/t/G/TBTN24/EU1075.DOCX", "https://docs.wto.org/imrd/directdoc.asp?DDFDocuments/t/G/TBTN24/EU1075.DOCX")</f>
      </c>
      <c r="P1058" s="6">
        <f>HYPERLINK("https://docs.wto.org/imrd/directdoc.asp?DDFDocuments/u/G/TBTN24/EU1075.DOCX", "https://docs.wto.org/imrd/directdoc.asp?DDFDocuments/u/G/TBTN24/EU1075.DOCX")</f>
      </c>
      <c r="Q1058" s="6">
        <f>HYPERLINK("https://docs.wto.org/imrd/directdoc.asp?DDFDocuments/v/G/TBTN24/EU1075.DOCX", "https://docs.wto.org/imrd/directdoc.asp?DDFDocuments/v/G/TBTN24/EU1075.DOCX")</f>
      </c>
    </row>
    <row r="1059">
      <c r="A1059" s="6" t="s">
        <v>307</v>
      </c>
      <c r="B1059" s="7">
        <v>45495</v>
      </c>
      <c r="C1059" s="6">
        <f>HYPERLINK("https://eping.wto.org/en/Search?viewData= G/SPS/N/CAN/1564"," G/SPS/N/CAN/1564")</f>
      </c>
      <c r="D1059" s="8" t="s">
        <v>3622</v>
      </c>
      <c r="E1059" s="8" t="s">
        <v>3623</v>
      </c>
      <c r="F1059" s="8" t="s">
        <v>3624</v>
      </c>
      <c r="G1059" s="6" t="s">
        <v>40</v>
      </c>
      <c r="H1059" s="6" t="s">
        <v>315</v>
      </c>
      <c r="I1059" s="6" t="s">
        <v>38</v>
      </c>
      <c r="J1059" s="6" t="s">
        <v>39</v>
      </c>
      <c r="K1059" s="6" t="s">
        <v>40</v>
      </c>
      <c r="L1059" s="7">
        <v>45553</v>
      </c>
      <c r="M1059" s="6" t="s">
        <v>25</v>
      </c>
      <c r="N1059" s="6"/>
      <c r="O1059" s="6">
        <f>HYPERLINK("https://docs.wto.org/imrd/directdoc.asp?DDFDocuments/t/G/SPS/NCAN1564.DOCX", "https://docs.wto.org/imrd/directdoc.asp?DDFDocuments/t/G/SPS/NCAN1564.DOCX")</f>
      </c>
      <c r="P1059" s="6">
        <f>HYPERLINK("https://docs.wto.org/imrd/directdoc.asp?DDFDocuments/u/G/SPS/NCAN1564.DOCX", "https://docs.wto.org/imrd/directdoc.asp?DDFDocuments/u/G/SPS/NCAN1564.DOCX")</f>
      </c>
      <c r="Q1059" s="6">
        <f>HYPERLINK("https://docs.wto.org/imrd/directdoc.asp?DDFDocuments/v/G/SPS/NCAN1564.DOCX", "https://docs.wto.org/imrd/directdoc.asp?DDFDocuments/v/G/SPS/NCAN1564.DOCX")</f>
      </c>
    </row>
    <row r="1060">
      <c r="A1060" s="6" t="s">
        <v>17</v>
      </c>
      <c r="B1060" s="7">
        <v>45495</v>
      </c>
      <c r="C1060" s="6">
        <f>HYPERLINK("https://eping.wto.org/en/Search?viewData= G/TBT/N/KEN/1642"," G/TBT/N/KEN/1642")</f>
      </c>
      <c r="D1060" s="8" t="s">
        <v>3625</v>
      </c>
      <c r="E1060" s="8" t="s">
        <v>3626</v>
      </c>
      <c r="F1060" s="8" t="s">
        <v>3627</v>
      </c>
      <c r="G1060" s="6" t="s">
        <v>40</v>
      </c>
      <c r="H1060" s="6" t="s">
        <v>3628</v>
      </c>
      <c r="I1060" s="6" t="s">
        <v>3629</v>
      </c>
      <c r="J1060" s="6" t="s">
        <v>40</v>
      </c>
      <c r="K1060" s="6"/>
      <c r="L1060" s="7">
        <v>45555</v>
      </c>
      <c r="M1060" s="6" t="s">
        <v>25</v>
      </c>
      <c r="N1060" s="8" t="s">
        <v>3630</v>
      </c>
      <c r="O1060" s="6">
        <f>HYPERLINK("https://docs.wto.org/imrd/directdoc.asp?DDFDocuments/t/G/TBTN24/KEN1642.DOCX", "https://docs.wto.org/imrd/directdoc.asp?DDFDocuments/t/G/TBTN24/KEN1642.DOCX")</f>
      </c>
      <c r="P1060" s="6">
        <f>HYPERLINK("https://docs.wto.org/imrd/directdoc.asp?DDFDocuments/u/G/TBTN24/KEN1642.DOCX", "https://docs.wto.org/imrd/directdoc.asp?DDFDocuments/u/G/TBTN24/KEN1642.DOCX")</f>
      </c>
      <c r="Q1060" s="6">
        <f>HYPERLINK("https://docs.wto.org/imrd/directdoc.asp?DDFDocuments/v/G/TBTN24/KEN1642.DOCX", "https://docs.wto.org/imrd/directdoc.asp?DDFDocuments/v/G/TBTN24/KEN1642.DOCX")</f>
      </c>
    </row>
    <row r="1061">
      <c r="A1061" s="6" t="s">
        <v>17</v>
      </c>
      <c r="B1061" s="7">
        <v>45495</v>
      </c>
      <c r="C1061" s="6">
        <f>HYPERLINK("https://eping.wto.org/en/Search?viewData= G/TBT/N/KEN/1643"," G/TBT/N/KEN/1643")</f>
      </c>
      <c r="D1061" s="8" t="s">
        <v>3631</v>
      </c>
      <c r="E1061" s="8" t="s">
        <v>3632</v>
      </c>
      <c r="F1061" s="8" t="s">
        <v>3633</v>
      </c>
      <c r="G1061" s="6" t="s">
        <v>40</v>
      </c>
      <c r="H1061" s="6" t="s">
        <v>3634</v>
      </c>
      <c r="I1061" s="6" t="s">
        <v>3629</v>
      </c>
      <c r="J1061" s="6" t="s">
        <v>40</v>
      </c>
      <c r="K1061" s="6"/>
      <c r="L1061" s="7">
        <v>45555</v>
      </c>
      <c r="M1061" s="6" t="s">
        <v>25</v>
      </c>
      <c r="N1061" s="8" t="s">
        <v>3635</v>
      </c>
      <c r="O1061" s="6">
        <f>HYPERLINK("https://docs.wto.org/imrd/directdoc.asp?DDFDocuments/t/G/TBTN24/KEN1643.DOCX", "https://docs.wto.org/imrd/directdoc.asp?DDFDocuments/t/G/TBTN24/KEN1643.DOCX")</f>
      </c>
      <c r="P1061" s="6">
        <f>HYPERLINK("https://docs.wto.org/imrd/directdoc.asp?DDFDocuments/u/G/TBTN24/KEN1643.DOCX", "https://docs.wto.org/imrd/directdoc.asp?DDFDocuments/u/G/TBTN24/KEN1643.DOCX")</f>
      </c>
      <c r="Q1061" s="6">
        <f>HYPERLINK("https://docs.wto.org/imrd/directdoc.asp?DDFDocuments/v/G/TBTN24/KEN1643.DOCX", "https://docs.wto.org/imrd/directdoc.asp?DDFDocuments/v/G/TBTN24/KEN1643.DOCX")</f>
      </c>
    </row>
    <row r="1062">
      <c r="A1062" s="6" t="s">
        <v>17</v>
      </c>
      <c r="B1062" s="7">
        <v>45492</v>
      </c>
      <c r="C1062" s="6">
        <f>HYPERLINK("https://eping.wto.org/en/Search?viewData= G/TBT/N/KEN/1640"," G/TBT/N/KEN/1640")</f>
      </c>
      <c r="D1062" s="8" t="s">
        <v>3636</v>
      </c>
      <c r="E1062" s="8" t="s">
        <v>3537</v>
      </c>
      <c r="F1062" s="8" t="s">
        <v>3538</v>
      </c>
      <c r="G1062" s="6" t="s">
        <v>40</v>
      </c>
      <c r="H1062" s="6" t="s">
        <v>3637</v>
      </c>
      <c r="I1062" s="6" t="s">
        <v>3638</v>
      </c>
      <c r="J1062" s="6" t="s">
        <v>24</v>
      </c>
      <c r="K1062" s="6"/>
      <c r="L1062" s="7">
        <v>45508</v>
      </c>
      <c r="M1062" s="6" t="s">
        <v>25</v>
      </c>
      <c r="N1062" s="8" t="s">
        <v>3639</v>
      </c>
      <c r="O1062" s="6">
        <f>HYPERLINK("https://docs.wto.org/imrd/directdoc.asp?DDFDocuments/t/G/TBTN24/KEN1640.DOCX", "https://docs.wto.org/imrd/directdoc.asp?DDFDocuments/t/G/TBTN24/KEN1640.DOCX")</f>
      </c>
      <c r="P1062" s="6">
        <f>HYPERLINK("https://docs.wto.org/imrd/directdoc.asp?DDFDocuments/u/G/TBTN24/KEN1640.DOCX", "https://docs.wto.org/imrd/directdoc.asp?DDFDocuments/u/G/TBTN24/KEN1640.DOCX")</f>
      </c>
      <c r="Q1062" s="6">
        <f>HYPERLINK("https://docs.wto.org/imrd/directdoc.asp?DDFDocuments/v/G/TBTN24/KEN1640.DOCX", "https://docs.wto.org/imrd/directdoc.asp?DDFDocuments/v/G/TBTN24/KEN1640.DOCX")</f>
      </c>
    </row>
    <row r="1063">
      <c r="A1063" s="6" t="s">
        <v>17</v>
      </c>
      <c r="B1063" s="7">
        <v>45492</v>
      </c>
      <c r="C1063" s="6">
        <f>HYPERLINK("https://eping.wto.org/en/Search?viewData= G/TBT/N/KEN/1641"," G/TBT/N/KEN/1641")</f>
      </c>
      <c r="D1063" s="8" t="s">
        <v>3640</v>
      </c>
      <c r="E1063" s="8" t="s">
        <v>3641</v>
      </c>
      <c r="F1063" s="8" t="s">
        <v>3642</v>
      </c>
      <c r="G1063" s="6" t="s">
        <v>3643</v>
      </c>
      <c r="H1063" s="6" t="s">
        <v>3644</v>
      </c>
      <c r="I1063" s="6" t="s">
        <v>3629</v>
      </c>
      <c r="J1063" s="6" t="s">
        <v>40</v>
      </c>
      <c r="K1063" s="6"/>
      <c r="L1063" s="7">
        <v>45552</v>
      </c>
      <c r="M1063" s="6" t="s">
        <v>25</v>
      </c>
      <c r="N1063" s="8" t="s">
        <v>3645</v>
      </c>
      <c r="O1063" s="6">
        <f>HYPERLINK("https://docs.wto.org/imrd/directdoc.asp?DDFDocuments/t/G/TBTN24/KEN1641.DOCX", "https://docs.wto.org/imrd/directdoc.asp?DDFDocuments/t/G/TBTN24/KEN1641.DOCX")</f>
      </c>
      <c r="P1063" s="6">
        <f>HYPERLINK("https://docs.wto.org/imrd/directdoc.asp?DDFDocuments/u/G/TBTN24/KEN1641.DOCX", "https://docs.wto.org/imrd/directdoc.asp?DDFDocuments/u/G/TBTN24/KEN1641.DOCX")</f>
      </c>
      <c r="Q1063" s="6">
        <f>HYPERLINK("https://docs.wto.org/imrd/directdoc.asp?DDFDocuments/v/G/TBTN24/KEN1641.DOCX", "https://docs.wto.org/imrd/directdoc.asp?DDFDocuments/v/G/TBTN24/KEN1641.DOCX")</f>
      </c>
    </row>
    <row r="1064">
      <c r="A1064" s="6" t="s">
        <v>17</v>
      </c>
      <c r="B1064" s="7">
        <v>45492</v>
      </c>
      <c r="C1064" s="6">
        <f>HYPERLINK("https://eping.wto.org/en/Search?viewData= G/TBT/N/KEN/1639"," G/TBT/N/KEN/1639")</f>
      </c>
      <c r="D1064" s="8" t="s">
        <v>3646</v>
      </c>
      <c r="E1064" s="8" t="s">
        <v>3647</v>
      </c>
      <c r="F1064" s="8" t="s">
        <v>3648</v>
      </c>
      <c r="G1064" s="6" t="s">
        <v>40</v>
      </c>
      <c r="H1064" s="6" t="s">
        <v>3649</v>
      </c>
      <c r="I1064" s="6" t="s">
        <v>3629</v>
      </c>
      <c r="J1064" s="6" t="s">
        <v>40</v>
      </c>
      <c r="K1064" s="6"/>
      <c r="L1064" s="7">
        <v>45552</v>
      </c>
      <c r="M1064" s="6" t="s">
        <v>25</v>
      </c>
      <c r="N1064" s="8" t="s">
        <v>3650</v>
      </c>
      <c r="O1064" s="6">
        <f>HYPERLINK("https://docs.wto.org/imrd/directdoc.asp?DDFDocuments/t/G/TBTN24/KEN1639.DOCX", "https://docs.wto.org/imrd/directdoc.asp?DDFDocuments/t/G/TBTN24/KEN1639.DOCX")</f>
      </c>
      <c r="P1064" s="6">
        <f>HYPERLINK("https://docs.wto.org/imrd/directdoc.asp?DDFDocuments/u/G/TBTN24/KEN1639.DOCX", "https://docs.wto.org/imrd/directdoc.asp?DDFDocuments/u/G/TBTN24/KEN1639.DOCX")</f>
      </c>
      <c r="Q1064" s="6">
        <f>HYPERLINK("https://docs.wto.org/imrd/directdoc.asp?DDFDocuments/v/G/TBTN24/KEN1639.DOCX", "https://docs.wto.org/imrd/directdoc.asp?DDFDocuments/v/G/TBTN24/KEN1639.DOCX")</f>
      </c>
    </row>
    <row r="1065">
      <c r="A1065" s="6" t="s">
        <v>391</v>
      </c>
      <c r="B1065" s="7">
        <v>45491</v>
      </c>
      <c r="C1065" s="6">
        <f>HYPERLINK("https://eping.wto.org/en/Search?viewData= G/SPS/N/KWT/150"," G/SPS/N/KWT/150")</f>
      </c>
      <c r="D1065" s="8" t="s">
        <v>3651</v>
      </c>
      <c r="E1065" s="8" t="s">
        <v>3652</v>
      </c>
      <c r="F1065" s="8" t="s">
        <v>3653</v>
      </c>
      <c r="G1065" s="6" t="s">
        <v>3654</v>
      </c>
      <c r="H1065" s="6" t="s">
        <v>826</v>
      </c>
      <c r="I1065" s="6" t="s">
        <v>827</v>
      </c>
      <c r="J1065" s="6" t="s">
        <v>828</v>
      </c>
      <c r="K1065" s="6" t="s">
        <v>3655</v>
      </c>
      <c r="L1065" s="7" t="s">
        <v>40</v>
      </c>
      <c r="M1065" s="6" t="s">
        <v>356</v>
      </c>
      <c r="N1065" s="8" t="s">
        <v>3656</v>
      </c>
      <c r="O1065" s="6">
        <f>HYPERLINK("https://docs.wto.org/imrd/directdoc.asp?DDFDocuments/t/G/SPS/NKWT150.DOCX", "https://docs.wto.org/imrd/directdoc.asp?DDFDocuments/t/G/SPS/NKWT150.DOCX")</f>
      </c>
      <c r="P1065" s="6">
        <f>HYPERLINK("https://docs.wto.org/imrd/directdoc.asp?DDFDocuments/u/G/SPS/NKWT150.DOCX", "https://docs.wto.org/imrd/directdoc.asp?DDFDocuments/u/G/SPS/NKWT150.DOCX")</f>
      </c>
      <c r="Q1065" s="6">
        <f>HYPERLINK("https://docs.wto.org/imrd/directdoc.asp?DDFDocuments/v/G/SPS/NKWT150.DOCX", "https://docs.wto.org/imrd/directdoc.asp?DDFDocuments/v/G/SPS/NKWT150.DOCX")</f>
      </c>
    </row>
    <row r="1066">
      <c r="A1066" s="6" t="s">
        <v>99</v>
      </c>
      <c r="B1066" s="7">
        <v>45491</v>
      </c>
      <c r="C1066" s="6">
        <f>HYPERLINK("https://eping.wto.org/en/Search?viewData= G/SPS/N/AUS/591"," G/SPS/N/AUS/591")</f>
      </c>
      <c r="D1066" s="8" t="s">
        <v>3657</v>
      </c>
      <c r="E1066" s="8" t="s">
        <v>3658</v>
      </c>
      <c r="F1066" s="8" t="s">
        <v>102</v>
      </c>
      <c r="G1066" s="6" t="s">
        <v>40</v>
      </c>
      <c r="H1066" s="6" t="s">
        <v>40</v>
      </c>
      <c r="I1066" s="6" t="s">
        <v>38</v>
      </c>
      <c r="J1066" s="6" t="s">
        <v>103</v>
      </c>
      <c r="K1066" s="6" t="s">
        <v>40</v>
      </c>
      <c r="L1066" s="7">
        <v>45558</v>
      </c>
      <c r="M1066" s="6" t="s">
        <v>25</v>
      </c>
      <c r="N1066" s="8" t="s">
        <v>3659</v>
      </c>
      <c r="O1066" s="6">
        <f>HYPERLINK("https://docs.wto.org/imrd/directdoc.asp?DDFDocuments/t/G/SPS/NAUS591.DOCX", "https://docs.wto.org/imrd/directdoc.asp?DDFDocuments/t/G/SPS/NAUS591.DOCX")</f>
      </c>
      <c r="P1066" s="6">
        <f>HYPERLINK("https://docs.wto.org/imrd/directdoc.asp?DDFDocuments/u/G/SPS/NAUS591.DOCX", "https://docs.wto.org/imrd/directdoc.asp?DDFDocuments/u/G/SPS/NAUS591.DOCX")</f>
      </c>
      <c r="Q1066" s="6">
        <f>HYPERLINK("https://docs.wto.org/imrd/directdoc.asp?DDFDocuments/v/G/SPS/NAUS591.DOCX", "https://docs.wto.org/imrd/directdoc.asp?DDFDocuments/v/G/SPS/NAUS591.DOCX")</f>
      </c>
    </row>
    <row r="1067">
      <c r="A1067" s="6" t="s">
        <v>239</v>
      </c>
      <c r="B1067" s="7">
        <v>45491</v>
      </c>
      <c r="C1067" s="6">
        <f>HYPERLINK("https://eping.wto.org/en/Search?viewData= G/TBT/N/VNM/310"," G/TBT/N/VNM/310")</f>
      </c>
      <c r="D1067" s="8" t="s">
        <v>3660</v>
      </c>
      <c r="E1067" s="8" t="s">
        <v>3661</v>
      </c>
      <c r="F1067" s="8" t="s">
        <v>3662</v>
      </c>
      <c r="G1067" s="6" t="s">
        <v>40</v>
      </c>
      <c r="H1067" s="6" t="s">
        <v>3663</v>
      </c>
      <c r="I1067" s="6" t="s">
        <v>147</v>
      </c>
      <c r="J1067" s="6" t="s">
        <v>40</v>
      </c>
      <c r="K1067" s="6"/>
      <c r="L1067" s="7">
        <v>45551</v>
      </c>
      <c r="M1067" s="6" t="s">
        <v>25</v>
      </c>
      <c r="N1067" s="8" t="s">
        <v>3664</v>
      </c>
      <c r="O1067" s="6">
        <f>HYPERLINK("https://docs.wto.org/imrd/directdoc.asp?DDFDocuments/t/G/TBTN24/VNM310.DOCX", "https://docs.wto.org/imrd/directdoc.asp?DDFDocuments/t/G/TBTN24/VNM310.DOCX")</f>
      </c>
      <c r="P1067" s="6">
        <f>HYPERLINK("https://docs.wto.org/imrd/directdoc.asp?DDFDocuments/u/G/TBTN24/VNM310.DOCX", "https://docs.wto.org/imrd/directdoc.asp?DDFDocuments/u/G/TBTN24/VNM310.DOCX")</f>
      </c>
      <c r="Q1067" s="6">
        <f>HYPERLINK("https://docs.wto.org/imrd/directdoc.asp?DDFDocuments/v/G/TBTN24/VNM310.DOCX", "https://docs.wto.org/imrd/directdoc.asp?DDFDocuments/v/G/TBTN24/VNM310.DOCX")</f>
      </c>
    </row>
    <row r="1068">
      <c r="A1068" s="6" t="s">
        <v>3665</v>
      </c>
      <c r="B1068" s="7">
        <v>45491</v>
      </c>
      <c r="C1068" s="6">
        <f>HYPERLINK("https://eping.wto.org/en/Search?viewData= G/TBT/N/BEL/48/Add.1"," G/TBT/N/BEL/48/Add.1")</f>
      </c>
      <c r="D1068" s="8" t="s">
        <v>3666</v>
      </c>
      <c r="E1068" s="8" t="s">
        <v>40</v>
      </c>
      <c r="F1068" s="8" t="s">
        <v>3667</v>
      </c>
      <c r="G1068" s="6" t="s">
        <v>3668</v>
      </c>
      <c r="H1068" s="6" t="s">
        <v>153</v>
      </c>
      <c r="I1068" s="6" t="s">
        <v>147</v>
      </c>
      <c r="J1068" s="6" t="s">
        <v>154</v>
      </c>
      <c r="K1068" s="6"/>
      <c r="L1068" s="7" t="s">
        <v>40</v>
      </c>
      <c r="M1068" s="6" t="s">
        <v>76</v>
      </c>
      <c r="N1068" s="6"/>
      <c r="O1068" s="6">
        <f>HYPERLINK("https://docs.wto.org/imrd/directdoc.asp?DDFDocuments/t/G/TBTN24/BEL48A1.DOCX", "https://docs.wto.org/imrd/directdoc.asp?DDFDocuments/t/G/TBTN24/BEL48A1.DOCX")</f>
      </c>
      <c r="P1068" s="6">
        <f>HYPERLINK("https://docs.wto.org/imrd/directdoc.asp?DDFDocuments/u/G/TBTN24/BEL48A1.DOCX", "https://docs.wto.org/imrd/directdoc.asp?DDFDocuments/u/G/TBTN24/BEL48A1.DOCX")</f>
      </c>
      <c r="Q1068" s="6">
        <f>HYPERLINK("https://docs.wto.org/imrd/directdoc.asp?DDFDocuments/v/G/TBTN24/BEL48A1.DOCX", "https://docs.wto.org/imrd/directdoc.asp?DDFDocuments/v/G/TBTN24/BEL48A1.DOCX")</f>
      </c>
    </row>
    <row r="1069">
      <c r="A1069" s="6" t="s">
        <v>160</v>
      </c>
      <c r="B1069" s="7">
        <v>45491</v>
      </c>
      <c r="C1069" s="6">
        <f>HYPERLINK("https://eping.wto.org/en/Search?viewData= G/TBT/N/USA/1698/Add.2"," G/TBT/N/USA/1698/Add.2")</f>
      </c>
      <c r="D1069" s="8" t="s">
        <v>3669</v>
      </c>
      <c r="E1069" s="8" t="s">
        <v>3670</v>
      </c>
      <c r="F1069" s="8" t="s">
        <v>1827</v>
      </c>
      <c r="G1069" s="6" t="s">
        <v>40</v>
      </c>
      <c r="H1069" s="6" t="s">
        <v>3671</v>
      </c>
      <c r="I1069" s="6" t="s">
        <v>1829</v>
      </c>
      <c r="J1069" s="6" t="s">
        <v>40</v>
      </c>
      <c r="K1069" s="6"/>
      <c r="L1069" s="7" t="s">
        <v>40</v>
      </c>
      <c r="M1069" s="6" t="s">
        <v>76</v>
      </c>
      <c r="N1069" s="8" t="s">
        <v>3672</v>
      </c>
      <c r="O1069" s="6">
        <f>HYPERLINK("https://docs.wto.org/imrd/directdoc.asp?DDFDocuments/t/G/TBTN21/USA1698A2.DOCX", "https://docs.wto.org/imrd/directdoc.asp?DDFDocuments/t/G/TBTN21/USA1698A2.DOCX")</f>
      </c>
      <c r="P1069" s="6">
        <f>HYPERLINK("https://docs.wto.org/imrd/directdoc.asp?DDFDocuments/u/G/TBTN21/USA1698A2.DOCX", "https://docs.wto.org/imrd/directdoc.asp?DDFDocuments/u/G/TBTN21/USA1698A2.DOCX")</f>
      </c>
      <c r="Q1069" s="6">
        <f>HYPERLINK("https://docs.wto.org/imrd/directdoc.asp?DDFDocuments/v/G/TBTN21/USA1698A2.DOCX", "https://docs.wto.org/imrd/directdoc.asp?DDFDocuments/v/G/TBTN21/USA1698A2.DOCX")</f>
      </c>
    </row>
    <row r="1070">
      <c r="A1070" s="6" t="s">
        <v>307</v>
      </c>
      <c r="B1070" s="7">
        <v>45491</v>
      </c>
      <c r="C1070" s="6">
        <f>HYPERLINK("https://eping.wto.org/en/Search?viewData= G/SPS/N/CAN/1563"," G/SPS/N/CAN/1563")</f>
      </c>
      <c r="D1070" s="8" t="s">
        <v>3673</v>
      </c>
      <c r="E1070" s="8" t="s">
        <v>3674</v>
      </c>
      <c r="F1070" s="8" t="s">
        <v>3675</v>
      </c>
      <c r="G1070" s="6" t="s">
        <v>40</v>
      </c>
      <c r="H1070" s="6" t="s">
        <v>330</v>
      </c>
      <c r="I1070" s="6" t="s">
        <v>38</v>
      </c>
      <c r="J1070" s="6" t="s">
        <v>103</v>
      </c>
      <c r="K1070" s="6" t="s">
        <v>40</v>
      </c>
      <c r="L1070" s="7">
        <v>45559</v>
      </c>
      <c r="M1070" s="6" t="s">
        <v>25</v>
      </c>
      <c r="N1070" s="8" t="s">
        <v>3676</v>
      </c>
      <c r="O1070" s="6">
        <f>HYPERLINK("https://docs.wto.org/imrd/directdoc.asp?DDFDocuments/t/G/SPS/NCAN1563.DOCX", "https://docs.wto.org/imrd/directdoc.asp?DDFDocuments/t/G/SPS/NCAN1563.DOCX")</f>
      </c>
      <c r="P1070" s="6">
        <f>HYPERLINK("https://docs.wto.org/imrd/directdoc.asp?DDFDocuments/u/G/SPS/NCAN1563.DOCX", "https://docs.wto.org/imrd/directdoc.asp?DDFDocuments/u/G/SPS/NCAN1563.DOCX")</f>
      </c>
      <c r="Q1070" s="6">
        <f>HYPERLINK("https://docs.wto.org/imrd/directdoc.asp?DDFDocuments/v/G/SPS/NCAN1563.DOCX", "https://docs.wto.org/imrd/directdoc.asp?DDFDocuments/v/G/SPS/NCAN1563.DOCX")</f>
      </c>
    </row>
    <row r="1071">
      <c r="A1071" s="6" t="s">
        <v>115</v>
      </c>
      <c r="B1071" s="7">
        <v>45491</v>
      </c>
      <c r="C1071" s="6">
        <f>HYPERLINK("https://eping.wto.org/en/Search?viewData= G/TBT/N/BRA/1559"," G/TBT/N/BRA/1559")</f>
      </c>
      <c r="D1071" s="8" t="s">
        <v>3677</v>
      </c>
      <c r="E1071" s="8" t="s">
        <v>3678</v>
      </c>
      <c r="F1071" s="8" t="s">
        <v>3679</v>
      </c>
      <c r="G1071" s="6" t="s">
        <v>40</v>
      </c>
      <c r="H1071" s="6" t="s">
        <v>3680</v>
      </c>
      <c r="I1071" s="6" t="s">
        <v>147</v>
      </c>
      <c r="J1071" s="6" t="s">
        <v>95</v>
      </c>
      <c r="K1071" s="6"/>
      <c r="L1071" s="7">
        <v>45551</v>
      </c>
      <c r="M1071" s="6" t="s">
        <v>25</v>
      </c>
      <c r="N1071" s="8" t="s">
        <v>3681</v>
      </c>
      <c r="O1071" s="6">
        <f>HYPERLINK("https://docs.wto.org/imrd/directdoc.asp?DDFDocuments/t/G/TBTN24/BRA1559.DOCX", "https://docs.wto.org/imrd/directdoc.asp?DDFDocuments/t/G/TBTN24/BRA1559.DOCX")</f>
      </c>
      <c r="P1071" s="6">
        <f>HYPERLINK("https://docs.wto.org/imrd/directdoc.asp?DDFDocuments/u/G/TBTN24/BRA1559.DOCX", "https://docs.wto.org/imrd/directdoc.asp?DDFDocuments/u/G/TBTN24/BRA1559.DOCX")</f>
      </c>
      <c r="Q1071" s="6">
        <f>HYPERLINK("https://docs.wto.org/imrd/directdoc.asp?DDFDocuments/v/G/TBTN24/BRA1559.DOCX", "https://docs.wto.org/imrd/directdoc.asp?DDFDocuments/v/G/TBTN24/BRA1559.DOCX")</f>
      </c>
    </row>
    <row r="1072">
      <c r="A1072" s="6" t="s">
        <v>180</v>
      </c>
      <c r="B1072" s="7">
        <v>45491</v>
      </c>
      <c r="C1072" s="6">
        <f>HYPERLINK("https://eping.wto.org/en/Search?viewData= G/SPS/N/CRI/270/Add.1"," G/SPS/N/CRI/270/Add.1")</f>
      </c>
      <c r="D1072" s="8" t="s">
        <v>3682</v>
      </c>
      <c r="E1072" s="8" t="s">
        <v>3682</v>
      </c>
      <c r="F1072" s="8" t="s">
        <v>3683</v>
      </c>
      <c r="G1072" s="6" t="s">
        <v>3684</v>
      </c>
      <c r="H1072" s="6" t="s">
        <v>40</v>
      </c>
      <c r="I1072" s="6" t="s">
        <v>184</v>
      </c>
      <c r="J1072" s="6" t="s">
        <v>527</v>
      </c>
      <c r="K1072" s="6"/>
      <c r="L1072" s="7" t="s">
        <v>40</v>
      </c>
      <c r="M1072" s="6" t="s">
        <v>76</v>
      </c>
      <c r="N1072" s="8" t="s">
        <v>3685</v>
      </c>
      <c r="O1072" s="6">
        <f>HYPERLINK("https://docs.wto.org/imrd/directdoc.asp?DDFDocuments/t/G/SPS/NCRI270A1.DOCX", "https://docs.wto.org/imrd/directdoc.asp?DDFDocuments/t/G/SPS/NCRI270A1.DOCX")</f>
      </c>
      <c r="P1072" s="6">
        <f>HYPERLINK("https://docs.wto.org/imrd/directdoc.asp?DDFDocuments/u/G/SPS/NCRI270A1.DOCX", "https://docs.wto.org/imrd/directdoc.asp?DDFDocuments/u/G/SPS/NCRI270A1.DOCX")</f>
      </c>
      <c r="Q1072" s="6">
        <f>HYPERLINK("https://docs.wto.org/imrd/directdoc.asp?DDFDocuments/v/G/SPS/NCRI270A1.DOCX", "https://docs.wto.org/imrd/directdoc.asp?DDFDocuments/v/G/SPS/NCRI270A1.DOCX")</f>
      </c>
    </row>
    <row r="1073">
      <c r="A1073" s="6" t="s">
        <v>419</v>
      </c>
      <c r="B1073" s="7">
        <v>45491</v>
      </c>
      <c r="C1073" s="6">
        <f>HYPERLINK("https://eping.wto.org/en/Search?viewData= G/TBT/N/JPN/823"," G/TBT/N/JPN/823")</f>
      </c>
      <c r="D1073" s="8" t="s">
        <v>3686</v>
      </c>
      <c r="E1073" s="8" t="s">
        <v>3687</v>
      </c>
      <c r="F1073" s="8" t="s">
        <v>3688</v>
      </c>
      <c r="G1073" s="6" t="s">
        <v>40</v>
      </c>
      <c r="H1073" s="6" t="s">
        <v>212</v>
      </c>
      <c r="I1073" s="6" t="s">
        <v>3689</v>
      </c>
      <c r="J1073" s="6" t="s">
        <v>40</v>
      </c>
      <c r="K1073" s="6"/>
      <c r="L1073" s="7">
        <v>45551</v>
      </c>
      <c r="M1073" s="6" t="s">
        <v>25</v>
      </c>
      <c r="N1073" s="8" t="s">
        <v>3690</v>
      </c>
      <c r="O1073" s="6">
        <f>HYPERLINK("https://docs.wto.org/imrd/directdoc.asp?DDFDocuments/t/G/TBTN24/JPN823.DOCX", "https://docs.wto.org/imrd/directdoc.asp?DDFDocuments/t/G/TBTN24/JPN823.DOCX")</f>
      </c>
      <c r="P1073" s="6">
        <f>HYPERLINK("https://docs.wto.org/imrd/directdoc.asp?DDFDocuments/u/G/TBTN24/JPN823.DOCX", "https://docs.wto.org/imrd/directdoc.asp?DDFDocuments/u/G/TBTN24/JPN823.DOCX")</f>
      </c>
      <c r="Q1073" s="6">
        <f>HYPERLINK("https://docs.wto.org/imrd/directdoc.asp?DDFDocuments/v/G/TBTN24/JPN823.DOCX", "https://docs.wto.org/imrd/directdoc.asp?DDFDocuments/v/G/TBTN24/JPN823.DOCX")</f>
      </c>
    </row>
    <row r="1074">
      <c r="A1074" s="6" t="s">
        <v>180</v>
      </c>
      <c r="B1074" s="7">
        <v>45491</v>
      </c>
      <c r="C1074" s="6">
        <f>HYPERLINK("https://eping.wto.org/en/Search?viewData= G/SPS/N/CRI/271/Add.1"," G/SPS/N/CRI/271/Add.1")</f>
      </c>
      <c r="D1074" s="8" t="s">
        <v>3691</v>
      </c>
      <c r="E1074" s="8" t="s">
        <v>3691</v>
      </c>
      <c r="F1074" s="8" t="s">
        <v>3692</v>
      </c>
      <c r="G1074" s="6" t="s">
        <v>183</v>
      </c>
      <c r="H1074" s="6" t="s">
        <v>40</v>
      </c>
      <c r="I1074" s="6" t="s">
        <v>184</v>
      </c>
      <c r="J1074" s="6" t="s">
        <v>3693</v>
      </c>
      <c r="K1074" s="6"/>
      <c r="L1074" s="7" t="s">
        <v>40</v>
      </c>
      <c r="M1074" s="6" t="s">
        <v>76</v>
      </c>
      <c r="N1074" s="8" t="s">
        <v>3694</v>
      </c>
      <c r="O1074" s="6">
        <f>HYPERLINK("https://docs.wto.org/imrd/directdoc.asp?DDFDocuments/t/G/SPS/NCRI271A1.DOCX", "https://docs.wto.org/imrd/directdoc.asp?DDFDocuments/t/G/SPS/NCRI271A1.DOCX")</f>
      </c>
      <c r="P1074" s="6">
        <f>HYPERLINK("https://docs.wto.org/imrd/directdoc.asp?DDFDocuments/u/G/SPS/NCRI271A1.DOCX", "https://docs.wto.org/imrd/directdoc.asp?DDFDocuments/u/G/SPS/NCRI271A1.DOCX")</f>
      </c>
      <c r="Q1074" s="6">
        <f>HYPERLINK("https://docs.wto.org/imrd/directdoc.asp?DDFDocuments/v/G/SPS/NCRI271A1.DOCX", "https://docs.wto.org/imrd/directdoc.asp?DDFDocuments/v/G/SPS/NCRI271A1.DOCX")</f>
      </c>
    </row>
    <row r="1075">
      <c r="A1075" s="6" t="s">
        <v>160</v>
      </c>
      <c r="B1075" s="7">
        <v>45491</v>
      </c>
      <c r="C1075" s="6">
        <f>HYPERLINK("https://eping.wto.org/en/Search?viewData= G/TBT/N/USA/1958/Add.2"," G/TBT/N/USA/1958/Add.2")</f>
      </c>
      <c r="D1075" s="8" t="s">
        <v>3695</v>
      </c>
      <c r="E1075" s="8" t="s">
        <v>3696</v>
      </c>
      <c r="F1075" s="8" t="s">
        <v>3697</v>
      </c>
      <c r="G1075" s="6" t="s">
        <v>40</v>
      </c>
      <c r="H1075" s="6" t="s">
        <v>3698</v>
      </c>
      <c r="I1075" s="6" t="s">
        <v>1220</v>
      </c>
      <c r="J1075" s="6" t="s">
        <v>40</v>
      </c>
      <c r="K1075" s="6"/>
      <c r="L1075" s="7" t="s">
        <v>40</v>
      </c>
      <c r="M1075" s="6" t="s">
        <v>76</v>
      </c>
      <c r="N1075" s="6"/>
      <c r="O1075" s="6">
        <f>HYPERLINK("https://docs.wto.org/imrd/directdoc.asp?DDFDocuments/t/G/TBTN23/USA1958A2.DOCX", "https://docs.wto.org/imrd/directdoc.asp?DDFDocuments/t/G/TBTN23/USA1958A2.DOCX")</f>
      </c>
      <c r="P1075" s="6">
        <f>HYPERLINK("https://docs.wto.org/imrd/directdoc.asp?DDFDocuments/u/G/TBTN23/USA1958A2.DOCX", "https://docs.wto.org/imrd/directdoc.asp?DDFDocuments/u/G/TBTN23/USA1958A2.DOCX")</f>
      </c>
      <c r="Q1075" s="6">
        <f>HYPERLINK("https://docs.wto.org/imrd/directdoc.asp?DDFDocuments/v/G/TBTN23/USA1958A2.DOCX", "https://docs.wto.org/imrd/directdoc.asp?DDFDocuments/v/G/TBTN23/USA1958A2.DOCX")</f>
      </c>
    </row>
    <row r="1076">
      <c r="A1076" s="6" t="s">
        <v>239</v>
      </c>
      <c r="B1076" s="7">
        <v>45491</v>
      </c>
      <c r="C1076" s="6">
        <f>HYPERLINK("https://eping.wto.org/en/Search?viewData= G/TBT/N/VNM/298/Add.1"," G/TBT/N/VNM/298/Add.1")</f>
      </c>
      <c r="D1076" s="8" t="s">
        <v>3699</v>
      </c>
      <c r="E1076" s="8" t="s">
        <v>3700</v>
      </c>
      <c r="F1076" s="8" t="s">
        <v>3701</v>
      </c>
      <c r="G1076" s="6" t="s">
        <v>3702</v>
      </c>
      <c r="H1076" s="6" t="s">
        <v>3703</v>
      </c>
      <c r="I1076" s="6" t="s">
        <v>147</v>
      </c>
      <c r="J1076" s="6" t="s">
        <v>40</v>
      </c>
      <c r="K1076" s="6"/>
      <c r="L1076" s="7" t="s">
        <v>40</v>
      </c>
      <c r="M1076" s="6" t="s">
        <v>76</v>
      </c>
      <c r="N1076" s="8" t="s">
        <v>3704</v>
      </c>
      <c r="O1076" s="6">
        <f>HYPERLINK("https://docs.wto.org/imrd/directdoc.asp?DDFDocuments/t/G/TBTN24/VNM298A1.DOCX", "https://docs.wto.org/imrd/directdoc.asp?DDFDocuments/t/G/TBTN24/VNM298A1.DOCX")</f>
      </c>
      <c r="P1076" s="6">
        <f>HYPERLINK("https://docs.wto.org/imrd/directdoc.asp?DDFDocuments/u/G/TBTN24/VNM298A1.DOCX", "https://docs.wto.org/imrd/directdoc.asp?DDFDocuments/u/G/TBTN24/VNM298A1.DOCX")</f>
      </c>
      <c r="Q1076" s="6">
        <f>HYPERLINK("https://docs.wto.org/imrd/directdoc.asp?DDFDocuments/v/G/TBTN24/VNM298A1.DOCX", "https://docs.wto.org/imrd/directdoc.asp?DDFDocuments/v/G/TBTN24/VNM298A1.DOCX")</f>
      </c>
    </row>
    <row r="1077">
      <c r="A1077" s="6" t="s">
        <v>160</v>
      </c>
      <c r="B1077" s="7">
        <v>45491</v>
      </c>
      <c r="C1077" s="6">
        <f>HYPERLINK("https://eping.wto.org/en/Search?viewData= G/TBT/N/USA/1974/Add.2"," G/TBT/N/USA/1974/Add.2")</f>
      </c>
      <c r="D1077" s="8" t="s">
        <v>3705</v>
      </c>
      <c r="E1077" s="8" t="s">
        <v>3706</v>
      </c>
      <c r="F1077" s="8" t="s">
        <v>3071</v>
      </c>
      <c r="G1077" s="6" t="s">
        <v>40</v>
      </c>
      <c r="H1077" s="6" t="s">
        <v>3707</v>
      </c>
      <c r="I1077" s="6" t="s">
        <v>213</v>
      </c>
      <c r="J1077" s="6" t="s">
        <v>40</v>
      </c>
      <c r="K1077" s="6"/>
      <c r="L1077" s="7" t="s">
        <v>40</v>
      </c>
      <c r="M1077" s="6" t="s">
        <v>76</v>
      </c>
      <c r="N1077" s="8" t="s">
        <v>3708</v>
      </c>
      <c r="O1077" s="6">
        <f>HYPERLINK("https://docs.wto.org/imrd/directdoc.asp?DDFDocuments/t/G/TBTN23/USA1974A2.DOCX", "https://docs.wto.org/imrd/directdoc.asp?DDFDocuments/t/G/TBTN23/USA1974A2.DOCX")</f>
      </c>
      <c r="P1077" s="6">
        <f>HYPERLINK("https://docs.wto.org/imrd/directdoc.asp?DDFDocuments/u/G/TBTN23/USA1974A2.DOCX", "https://docs.wto.org/imrd/directdoc.asp?DDFDocuments/u/G/TBTN23/USA1974A2.DOCX")</f>
      </c>
      <c r="Q1077" s="6">
        <f>HYPERLINK("https://docs.wto.org/imrd/directdoc.asp?DDFDocuments/v/G/TBTN23/USA1974A2.DOCX", "https://docs.wto.org/imrd/directdoc.asp?DDFDocuments/v/G/TBTN23/USA1974A2.DOCX")</f>
      </c>
    </row>
    <row r="1078">
      <c r="A1078" s="6" t="s">
        <v>307</v>
      </c>
      <c r="B1078" s="7">
        <v>45491</v>
      </c>
      <c r="C1078" s="6">
        <f>HYPERLINK("https://eping.wto.org/en/Search?viewData= G/SPS/N/CAN/1562"," G/SPS/N/CAN/1562")</f>
      </c>
      <c r="D1078" s="8" t="s">
        <v>3709</v>
      </c>
      <c r="E1078" s="8" t="s">
        <v>3710</v>
      </c>
      <c r="F1078" s="8" t="s">
        <v>3711</v>
      </c>
      <c r="G1078" s="6" t="s">
        <v>40</v>
      </c>
      <c r="H1078" s="6" t="s">
        <v>311</v>
      </c>
      <c r="I1078" s="6" t="s">
        <v>38</v>
      </c>
      <c r="J1078" s="6" t="s">
        <v>103</v>
      </c>
      <c r="K1078" s="6" t="s">
        <v>40</v>
      </c>
      <c r="L1078" s="7">
        <v>45559</v>
      </c>
      <c r="M1078" s="6" t="s">
        <v>25</v>
      </c>
      <c r="N1078" s="6"/>
      <c r="O1078" s="6">
        <f>HYPERLINK("https://docs.wto.org/imrd/directdoc.asp?DDFDocuments/t/G/SPS/NCAN1562.DOCX", "https://docs.wto.org/imrd/directdoc.asp?DDFDocuments/t/G/SPS/NCAN1562.DOCX")</f>
      </c>
      <c r="P1078" s="6">
        <f>HYPERLINK("https://docs.wto.org/imrd/directdoc.asp?DDFDocuments/u/G/SPS/NCAN1562.DOCX", "https://docs.wto.org/imrd/directdoc.asp?DDFDocuments/u/G/SPS/NCAN1562.DOCX")</f>
      </c>
      <c r="Q1078" s="6">
        <f>HYPERLINK("https://docs.wto.org/imrd/directdoc.asp?DDFDocuments/v/G/SPS/NCAN1562.DOCX", "https://docs.wto.org/imrd/directdoc.asp?DDFDocuments/v/G/SPS/NCAN1562.DOCX")</f>
      </c>
    </row>
    <row r="1079">
      <c r="A1079" s="6" t="s">
        <v>1688</v>
      </c>
      <c r="B1079" s="7">
        <v>45491</v>
      </c>
      <c r="C1079" s="6">
        <f>HYPERLINK("https://eping.wto.org/en/Search?viewData= G/SPS/N/THA/232/Rev.2"," G/SPS/N/THA/232/Rev.2")</f>
      </c>
      <c r="D1079" s="8" t="s">
        <v>3712</v>
      </c>
      <c r="E1079" s="8" t="s">
        <v>3713</v>
      </c>
      <c r="F1079" s="8" t="s">
        <v>2769</v>
      </c>
      <c r="G1079" s="6" t="s">
        <v>3714</v>
      </c>
      <c r="H1079" s="6" t="s">
        <v>336</v>
      </c>
      <c r="I1079" s="6" t="s">
        <v>38</v>
      </c>
      <c r="J1079" s="6" t="s">
        <v>3715</v>
      </c>
      <c r="K1079" s="6" t="s">
        <v>40</v>
      </c>
      <c r="L1079" s="7">
        <v>45551</v>
      </c>
      <c r="M1079" s="6" t="s">
        <v>214</v>
      </c>
      <c r="N1079" s="8" t="s">
        <v>3716</v>
      </c>
      <c r="O1079" s="6">
        <f>HYPERLINK("https://docs.wto.org/imrd/directdoc.asp?DDFDocuments/t/G/SPS/NTHA232R2.DOCX", "https://docs.wto.org/imrd/directdoc.asp?DDFDocuments/t/G/SPS/NTHA232R2.DOCX")</f>
      </c>
      <c r="P1079" s="6">
        <f>HYPERLINK("https://docs.wto.org/imrd/directdoc.asp?DDFDocuments/u/G/SPS/NTHA232R2.DOCX", "https://docs.wto.org/imrd/directdoc.asp?DDFDocuments/u/G/SPS/NTHA232R2.DOCX")</f>
      </c>
      <c r="Q1079" s="6">
        <f>HYPERLINK("https://docs.wto.org/imrd/directdoc.asp?DDFDocuments/v/G/SPS/NTHA232R2.DOCX", "https://docs.wto.org/imrd/directdoc.asp?DDFDocuments/v/G/SPS/NTHA232R2.DOCX")</f>
      </c>
    </row>
    <row r="1080">
      <c r="A1080" s="6" t="s">
        <v>180</v>
      </c>
      <c r="B1080" s="7">
        <v>45491</v>
      </c>
      <c r="C1080" s="6">
        <f>HYPERLINK("https://eping.wto.org/en/Search?viewData= G/SPS/N/CRI/269/Add.1"," G/SPS/N/CRI/269/Add.1")</f>
      </c>
      <c r="D1080" s="8" t="s">
        <v>3717</v>
      </c>
      <c r="E1080" s="8" t="s">
        <v>3717</v>
      </c>
      <c r="F1080" s="8" t="s">
        <v>3718</v>
      </c>
      <c r="G1080" s="6" t="s">
        <v>3305</v>
      </c>
      <c r="H1080" s="6" t="s">
        <v>40</v>
      </c>
      <c r="I1080" s="6" t="s">
        <v>184</v>
      </c>
      <c r="J1080" s="6" t="s">
        <v>185</v>
      </c>
      <c r="K1080" s="6"/>
      <c r="L1080" s="7" t="s">
        <v>40</v>
      </c>
      <c r="M1080" s="6" t="s">
        <v>76</v>
      </c>
      <c r="N1080" s="8" t="s">
        <v>3719</v>
      </c>
      <c r="O1080" s="6">
        <f>HYPERLINK("https://docs.wto.org/imrd/directdoc.asp?DDFDocuments/t/G/SPS/NCRI269A1.DOCX", "https://docs.wto.org/imrd/directdoc.asp?DDFDocuments/t/G/SPS/NCRI269A1.DOCX")</f>
      </c>
      <c r="P1080" s="6">
        <f>HYPERLINK("https://docs.wto.org/imrd/directdoc.asp?DDFDocuments/u/G/SPS/NCRI269A1.DOCX", "https://docs.wto.org/imrd/directdoc.asp?DDFDocuments/u/G/SPS/NCRI269A1.DOCX")</f>
      </c>
      <c r="Q1080" s="6">
        <f>HYPERLINK("https://docs.wto.org/imrd/directdoc.asp?DDFDocuments/v/G/SPS/NCRI269A1.DOCX", "https://docs.wto.org/imrd/directdoc.asp?DDFDocuments/v/G/SPS/NCRI269A1.DOCX")</f>
      </c>
    </row>
    <row r="1081">
      <c r="A1081" s="6" t="s">
        <v>180</v>
      </c>
      <c r="B1081" s="7">
        <v>45491</v>
      </c>
      <c r="C1081" s="6">
        <f>HYPERLINK("https://eping.wto.org/en/Search?viewData= G/SPS/N/CRI/272/Add.1"," G/SPS/N/CRI/272/Add.1")</f>
      </c>
      <c r="D1081" s="8" t="s">
        <v>3720</v>
      </c>
      <c r="E1081" s="8" t="s">
        <v>3720</v>
      </c>
      <c r="F1081" s="8" t="s">
        <v>3721</v>
      </c>
      <c r="G1081" s="6" t="s">
        <v>183</v>
      </c>
      <c r="H1081" s="6" t="s">
        <v>40</v>
      </c>
      <c r="I1081" s="6" t="s">
        <v>184</v>
      </c>
      <c r="J1081" s="6" t="s">
        <v>3722</v>
      </c>
      <c r="K1081" s="6"/>
      <c r="L1081" s="7" t="s">
        <v>40</v>
      </c>
      <c r="M1081" s="6" t="s">
        <v>76</v>
      </c>
      <c r="N1081" s="8" t="s">
        <v>3723</v>
      </c>
      <c r="O1081" s="6">
        <f>HYPERLINK("https://docs.wto.org/imrd/directdoc.asp?DDFDocuments/t/G/SPS/NCRI272A1.DOCX", "https://docs.wto.org/imrd/directdoc.asp?DDFDocuments/t/G/SPS/NCRI272A1.DOCX")</f>
      </c>
      <c r="P1081" s="6">
        <f>HYPERLINK("https://docs.wto.org/imrd/directdoc.asp?DDFDocuments/u/G/SPS/NCRI272A1.DOCX", "https://docs.wto.org/imrd/directdoc.asp?DDFDocuments/u/G/SPS/NCRI272A1.DOCX")</f>
      </c>
      <c r="Q1081" s="6">
        <f>HYPERLINK("https://docs.wto.org/imrd/directdoc.asp?DDFDocuments/v/G/SPS/NCRI272A1.DOCX", "https://docs.wto.org/imrd/directdoc.asp?DDFDocuments/v/G/SPS/NCRI272A1.DOCX")</f>
      </c>
    </row>
    <row r="1082">
      <c r="A1082" s="6" t="s">
        <v>1280</v>
      </c>
      <c r="B1082" s="7">
        <v>45490</v>
      </c>
      <c r="C1082" s="6">
        <f>HYPERLINK("https://eping.wto.org/en/Search?viewData= G/SPS/N/ALB/207"," G/SPS/N/ALB/207")</f>
      </c>
      <c r="D1082" s="8" t="s">
        <v>3724</v>
      </c>
      <c r="E1082" s="8" t="s">
        <v>3725</v>
      </c>
      <c r="F1082" s="8" t="s">
        <v>3726</v>
      </c>
      <c r="G1082" s="6" t="s">
        <v>3727</v>
      </c>
      <c r="H1082" s="6" t="s">
        <v>40</v>
      </c>
      <c r="I1082" s="6" t="s">
        <v>852</v>
      </c>
      <c r="J1082" s="6" t="s">
        <v>3728</v>
      </c>
      <c r="K1082" s="6" t="s">
        <v>40</v>
      </c>
      <c r="L1082" s="7" t="s">
        <v>40</v>
      </c>
      <c r="M1082" s="6" t="s">
        <v>25</v>
      </c>
      <c r="N1082" s="8" t="s">
        <v>3729</v>
      </c>
      <c r="O1082" s="6">
        <f>HYPERLINK("https://docs.wto.org/imrd/directdoc.asp?DDFDocuments/t/G/SPS/NALB207.DOCX", "https://docs.wto.org/imrd/directdoc.asp?DDFDocuments/t/G/SPS/NALB207.DOCX")</f>
      </c>
      <c r="P1082" s="6">
        <f>HYPERLINK("https://docs.wto.org/imrd/directdoc.asp?DDFDocuments/u/G/SPS/NALB207.DOCX", "https://docs.wto.org/imrd/directdoc.asp?DDFDocuments/u/G/SPS/NALB207.DOCX")</f>
      </c>
      <c r="Q1082" s="6">
        <f>HYPERLINK("https://docs.wto.org/imrd/directdoc.asp?DDFDocuments/v/G/SPS/NALB207.DOCX", "https://docs.wto.org/imrd/directdoc.asp?DDFDocuments/v/G/SPS/NALB207.DOCX")</f>
      </c>
    </row>
    <row r="1083">
      <c r="A1083" s="6" t="s">
        <v>419</v>
      </c>
      <c r="B1083" s="7">
        <v>45490</v>
      </c>
      <c r="C1083" s="6">
        <f>HYPERLINK("https://eping.wto.org/en/Search?viewData= G/TBT/N/JPN/822"," G/TBT/N/JPN/822")</f>
      </c>
      <c r="D1083" s="8" t="s">
        <v>3730</v>
      </c>
      <c r="E1083" s="8" t="s">
        <v>3731</v>
      </c>
      <c r="F1083" s="8" t="s">
        <v>3732</v>
      </c>
      <c r="G1083" s="6" t="s">
        <v>40</v>
      </c>
      <c r="H1083" s="6" t="s">
        <v>3733</v>
      </c>
      <c r="I1083" s="6" t="s">
        <v>142</v>
      </c>
      <c r="J1083" s="6" t="s">
        <v>95</v>
      </c>
      <c r="K1083" s="6"/>
      <c r="L1083" s="7">
        <v>45550</v>
      </c>
      <c r="M1083" s="6" t="s">
        <v>25</v>
      </c>
      <c r="N1083" s="8" t="s">
        <v>3734</v>
      </c>
      <c r="O1083" s="6">
        <f>HYPERLINK("https://docs.wto.org/imrd/directdoc.asp?DDFDocuments/t/G/TBTN24/JPN822.DOCX", "https://docs.wto.org/imrd/directdoc.asp?DDFDocuments/t/G/TBTN24/JPN822.DOCX")</f>
      </c>
      <c r="P1083" s="6">
        <f>HYPERLINK("https://docs.wto.org/imrd/directdoc.asp?DDFDocuments/u/G/TBTN24/JPN822.DOCX", "https://docs.wto.org/imrd/directdoc.asp?DDFDocuments/u/G/TBTN24/JPN822.DOCX")</f>
      </c>
      <c r="Q1083" s="6">
        <f>HYPERLINK("https://docs.wto.org/imrd/directdoc.asp?DDFDocuments/v/G/TBTN24/JPN822.DOCX", "https://docs.wto.org/imrd/directdoc.asp?DDFDocuments/v/G/TBTN24/JPN822.DOCX")</f>
      </c>
    </row>
    <row r="1084">
      <c r="A1084" s="6" t="s">
        <v>124</v>
      </c>
      <c r="B1084" s="7">
        <v>45490</v>
      </c>
      <c r="C1084" s="6">
        <f>HYPERLINK("https://eping.wto.org/en/Search?viewData= G/TBT/N/ARG/456"," G/TBT/N/ARG/456")</f>
      </c>
      <c r="D1084" s="8" t="s">
        <v>3735</v>
      </c>
      <c r="E1084" s="8" t="s">
        <v>3736</v>
      </c>
      <c r="F1084" s="8" t="s">
        <v>3737</v>
      </c>
      <c r="G1084" s="6" t="s">
        <v>40</v>
      </c>
      <c r="H1084" s="6" t="s">
        <v>3738</v>
      </c>
      <c r="I1084" s="6" t="s">
        <v>3739</v>
      </c>
      <c r="J1084" s="6" t="s">
        <v>24</v>
      </c>
      <c r="K1084" s="6"/>
      <c r="L1084" s="7">
        <v>45532</v>
      </c>
      <c r="M1084" s="6" t="s">
        <v>25</v>
      </c>
      <c r="N1084" s="8" t="s">
        <v>3740</v>
      </c>
      <c r="O1084" s="6">
        <f>HYPERLINK("https://docs.wto.org/imrd/directdoc.asp?DDFDocuments/t/G/TBTN24/ARG456.DOCX", "https://docs.wto.org/imrd/directdoc.asp?DDFDocuments/t/G/TBTN24/ARG456.DOCX")</f>
      </c>
      <c r="P1084" s="6">
        <f>HYPERLINK("https://docs.wto.org/imrd/directdoc.asp?DDFDocuments/u/G/TBTN24/ARG456.DOCX", "https://docs.wto.org/imrd/directdoc.asp?DDFDocuments/u/G/TBTN24/ARG456.DOCX")</f>
      </c>
      <c r="Q1084" s="6">
        <f>HYPERLINK("https://docs.wto.org/imrd/directdoc.asp?DDFDocuments/v/G/TBTN24/ARG456.DOCX", "https://docs.wto.org/imrd/directdoc.asp?DDFDocuments/v/G/TBTN24/ARG456.DOCX")</f>
      </c>
    </row>
    <row r="1085">
      <c r="A1085" s="6" t="s">
        <v>1688</v>
      </c>
      <c r="B1085" s="7">
        <v>45490</v>
      </c>
      <c r="C1085" s="6">
        <f>HYPERLINK("https://eping.wto.org/en/Search?viewData= G/TBT/N/THA/746"," G/TBT/N/THA/746")</f>
      </c>
      <c r="D1085" s="8" t="s">
        <v>3741</v>
      </c>
      <c r="E1085" s="8" t="s">
        <v>3742</v>
      </c>
      <c r="F1085" s="8" t="s">
        <v>3743</v>
      </c>
      <c r="G1085" s="6" t="s">
        <v>3744</v>
      </c>
      <c r="H1085" s="6" t="s">
        <v>3745</v>
      </c>
      <c r="I1085" s="6" t="s">
        <v>142</v>
      </c>
      <c r="J1085" s="6" t="s">
        <v>40</v>
      </c>
      <c r="K1085" s="6"/>
      <c r="L1085" s="7" t="s">
        <v>40</v>
      </c>
      <c r="M1085" s="6" t="s">
        <v>25</v>
      </c>
      <c r="N1085" s="8" t="s">
        <v>3746</v>
      </c>
      <c r="O1085" s="6">
        <f>HYPERLINK("https://docs.wto.org/imrd/directdoc.asp?DDFDocuments/t/G/TBTN24/THA746.DOCX", "https://docs.wto.org/imrd/directdoc.asp?DDFDocuments/t/G/TBTN24/THA746.DOCX")</f>
      </c>
      <c r="P1085" s="6">
        <f>HYPERLINK("https://docs.wto.org/imrd/directdoc.asp?DDFDocuments/u/G/TBTN24/THA746.DOCX", "https://docs.wto.org/imrd/directdoc.asp?DDFDocuments/u/G/TBTN24/THA746.DOCX")</f>
      </c>
      <c r="Q1085" s="6">
        <f>HYPERLINK("https://docs.wto.org/imrd/directdoc.asp?DDFDocuments/v/G/TBTN24/THA746.DOCX", "https://docs.wto.org/imrd/directdoc.asp?DDFDocuments/v/G/TBTN24/THA746.DOCX")</f>
      </c>
    </row>
    <row r="1086">
      <c r="A1086" s="6" t="s">
        <v>391</v>
      </c>
      <c r="B1086" s="7">
        <v>45490</v>
      </c>
      <c r="C1086" s="6">
        <f>HYPERLINK("https://eping.wto.org/en/Search?viewData= G/SPS/N/KWT/148"," G/SPS/N/KWT/148")</f>
      </c>
      <c r="D1086" s="8" t="s">
        <v>3747</v>
      </c>
      <c r="E1086" s="8" t="s">
        <v>3748</v>
      </c>
      <c r="F1086" s="8" t="s">
        <v>833</v>
      </c>
      <c r="G1086" s="6" t="s">
        <v>834</v>
      </c>
      <c r="H1086" s="6" t="s">
        <v>826</v>
      </c>
      <c r="I1086" s="6" t="s">
        <v>827</v>
      </c>
      <c r="J1086" s="6" t="s">
        <v>3749</v>
      </c>
      <c r="K1086" s="6" t="s">
        <v>3750</v>
      </c>
      <c r="L1086" s="7" t="s">
        <v>40</v>
      </c>
      <c r="M1086" s="6" t="s">
        <v>356</v>
      </c>
      <c r="N1086" s="8" t="s">
        <v>3751</v>
      </c>
      <c r="O1086" s="6">
        <f>HYPERLINK("https://docs.wto.org/imrd/directdoc.asp?DDFDocuments/t/G/SPS/NKWT148.DOCX", "https://docs.wto.org/imrd/directdoc.asp?DDFDocuments/t/G/SPS/NKWT148.DOCX")</f>
      </c>
      <c r="P1086" s="6">
        <f>HYPERLINK("https://docs.wto.org/imrd/directdoc.asp?DDFDocuments/u/G/SPS/NKWT148.DOCX", "https://docs.wto.org/imrd/directdoc.asp?DDFDocuments/u/G/SPS/NKWT148.DOCX")</f>
      </c>
      <c r="Q1086" s="6">
        <f>HYPERLINK("https://docs.wto.org/imrd/directdoc.asp?DDFDocuments/v/G/SPS/NKWT148.DOCX", "https://docs.wto.org/imrd/directdoc.asp?DDFDocuments/v/G/SPS/NKWT148.DOCX")</f>
      </c>
    </row>
    <row r="1087">
      <c r="A1087" s="6" t="s">
        <v>419</v>
      </c>
      <c r="B1087" s="7">
        <v>45490</v>
      </c>
      <c r="C1087" s="6">
        <f>HYPERLINK("https://eping.wto.org/en/Search?viewData= G/TBT/N/JPN/821"," G/TBT/N/JPN/821")</f>
      </c>
      <c r="D1087" s="8" t="s">
        <v>3752</v>
      </c>
      <c r="E1087" s="8" t="s">
        <v>3753</v>
      </c>
      <c r="F1087" s="8" t="s">
        <v>3754</v>
      </c>
      <c r="G1087" s="6" t="s">
        <v>40</v>
      </c>
      <c r="H1087" s="6" t="s">
        <v>947</v>
      </c>
      <c r="I1087" s="6" t="s">
        <v>3689</v>
      </c>
      <c r="J1087" s="6" t="s">
        <v>40</v>
      </c>
      <c r="K1087" s="6"/>
      <c r="L1087" s="7">
        <v>45550</v>
      </c>
      <c r="M1087" s="6" t="s">
        <v>25</v>
      </c>
      <c r="N1087" s="8" t="s">
        <v>3755</v>
      </c>
      <c r="O1087" s="6">
        <f>HYPERLINK("https://docs.wto.org/imrd/directdoc.asp?DDFDocuments/t/G/TBTN24/JPN821.DOCX", "https://docs.wto.org/imrd/directdoc.asp?DDFDocuments/t/G/TBTN24/JPN821.DOCX")</f>
      </c>
      <c r="P1087" s="6">
        <f>HYPERLINK("https://docs.wto.org/imrd/directdoc.asp?DDFDocuments/u/G/TBTN24/JPN821.DOCX", "https://docs.wto.org/imrd/directdoc.asp?DDFDocuments/u/G/TBTN24/JPN821.DOCX")</f>
      </c>
      <c r="Q1087" s="6">
        <f>HYPERLINK("https://docs.wto.org/imrd/directdoc.asp?DDFDocuments/v/G/TBTN24/JPN821.DOCX", "https://docs.wto.org/imrd/directdoc.asp?DDFDocuments/v/G/TBTN24/JPN821.DOCX")</f>
      </c>
    </row>
    <row r="1088">
      <c r="A1088" s="6" t="s">
        <v>1688</v>
      </c>
      <c r="B1088" s="7">
        <v>45490</v>
      </c>
      <c r="C1088" s="6">
        <f>HYPERLINK("https://eping.wto.org/en/Search?viewData= G/TBT/N/THA/695/Add.1"," G/TBT/N/THA/695/Add.1")</f>
      </c>
      <c r="D1088" s="8" t="s">
        <v>3756</v>
      </c>
      <c r="E1088" s="8" t="s">
        <v>3757</v>
      </c>
      <c r="F1088" s="8" t="s">
        <v>3758</v>
      </c>
      <c r="G1088" s="6" t="s">
        <v>3759</v>
      </c>
      <c r="H1088" s="6" t="s">
        <v>2402</v>
      </c>
      <c r="I1088" s="6" t="s">
        <v>245</v>
      </c>
      <c r="J1088" s="6" t="s">
        <v>122</v>
      </c>
      <c r="K1088" s="6"/>
      <c r="L1088" s="7" t="s">
        <v>40</v>
      </c>
      <c r="M1088" s="6" t="s">
        <v>76</v>
      </c>
      <c r="N1088" s="8" t="s">
        <v>3760</v>
      </c>
      <c r="O1088" s="6">
        <f>HYPERLINK("https://docs.wto.org/imrd/directdoc.asp?DDFDocuments/t/G/TBTN23/THA695A1.DOCX", "https://docs.wto.org/imrd/directdoc.asp?DDFDocuments/t/G/TBTN23/THA695A1.DOCX")</f>
      </c>
      <c r="P1088" s="6">
        <f>HYPERLINK("https://docs.wto.org/imrd/directdoc.asp?DDFDocuments/u/G/TBTN23/THA695A1.DOCX", "https://docs.wto.org/imrd/directdoc.asp?DDFDocuments/u/G/TBTN23/THA695A1.DOCX")</f>
      </c>
      <c r="Q1088" s="6">
        <f>HYPERLINK("https://docs.wto.org/imrd/directdoc.asp?DDFDocuments/v/G/TBTN23/THA695A1.DOCX", "https://docs.wto.org/imrd/directdoc.asp?DDFDocuments/v/G/TBTN23/THA695A1.DOCX")</f>
      </c>
    </row>
    <row r="1089">
      <c r="A1089" s="6" t="s">
        <v>307</v>
      </c>
      <c r="B1089" s="7">
        <v>45490</v>
      </c>
      <c r="C1089" s="6">
        <f>HYPERLINK("https://eping.wto.org/en/Search?viewData= G/TBT/N/CAN/694/Add.1"," G/TBT/N/CAN/694/Add.1")</f>
      </c>
      <c r="D1089" s="8" t="s">
        <v>3761</v>
      </c>
      <c r="E1089" s="8" t="s">
        <v>3762</v>
      </c>
      <c r="F1089" s="8" t="s">
        <v>3763</v>
      </c>
      <c r="G1089" s="6" t="s">
        <v>40</v>
      </c>
      <c r="H1089" s="6" t="s">
        <v>3764</v>
      </c>
      <c r="I1089" s="6" t="s">
        <v>142</v>
      </c>
      <c r="J1089" s="6" t="s">
        <v>154</v>
      </c>
      <c r="K1089" s="6"/>
      <c r="L1089" s="7" t="s">
        <v>40</v>
      </c>
      <c r="M1089" s="6" t="s">
        <v>76</v>
      </c>
      <c r="N1089" s="8" t="s">
        <v>3765</v>
      </c>
      <c r="O1089" s="6">
        <f>HYPERLINK("https://docs.wto.org/imrd/directdoc.asp?DDFDocuments/t/G/TBTN23/CAN694A1.DOCX", "https://docs.wto.org/imrd/directdoc.asp?DDFDocuments/t/G/TBTN23/CAN694A1.DOCX")</f>
      </c>
      <c r="P1089" s="6">
        <f>HYPERLINK("https://docs.wto.org/imrd/directdoc.asp?DDFDocuments/u/G/TBTN23/CAN694A1.DOCX", "https://docs.wto.org/imrd/directdoc.asp?DDFDocuments/u/G/TBTN23/CAN694A1.DOCX")</f>
      </c>
      <c r="Q1089" s="6">
        <f>HYPERLINK("https://docs.wto.org/imrd/directdoc.asp?DDFDocuments/v/G/TBTN23/CAN694A1.DOCX", "https://docs.wto.org/imrd/directdoc.asp?DDFDocuments/v/G/TBTN23/CAN694A1.DOCX")</f>
      </c>
    </row>
    <row r="1090">
      <c r="A1090" s="6" t="s">
        <v>515</v>
      </c>
      <c r="B1090" s="7">
        <v>45490</v>
      </c>
      <c r="C1090" s="6">
        <f>HYPERLINK("https://eping.wto.org/en/Search?viewData= G/TBT/N/EU/895/Add.1"," G/TBT/N/EU/895/Add.1")</f>
      </c>
      <c r="D1090" s="8" t="s">
        <v>3766</v>
      </c>
      <c r="E1090" s="8" t="s">
        <v>3767</v>
      </c>
      <c r="F1090" s="8" t="s">
        <v>3768</v>
      </c>
      <c r="G1090" s="6" t="s">
        <v>40</v>
      </c>
      <c r="H1090" s="6" t="s">
        <v>3769</v>
      </c>
      <c r="I1090" s="6" t="s">
        <v>3739</v>
      </c>
      <c r="J1090" s="6" t="s">
        <v>122</v>
      </c>
      <c r="K1090" s="6"/>
      <c r="L1090" s="7" t="s">
        <v>40</v>
      </c>
      <c r="M1090" s="6" t="s">
        <v>76</v>
      </c>
      <c r="N1090" s="8" t="s">
        <v>3770</v>
      </c>
      <c r="O1090" s="6">
        <f>HYPERLINK("https://docs.wto.org/imrd/directdoc.asp?DDFDocuments/t/G/TBTN22/EU895A1.DOCX", "https://docs.wto.org/imrd/directdoc.asp?DDFDocuments/t/G/TBTN22/EU895A1.DOCX")</f>
      </c>
      <c r="P1090" s="6">
        <f>HYPERLINK("https://docs.wto.org/imrd/directdoc.asp?DDFDocuments/u/G/TBTN22/EU895A1.DOCX", "https://docs.wto.org/imrd/directdoc.asp?DDFDocuments/u/G/TBTN22/EU895A1.DOCX")</f>
      </c>
      <c r="Q1090" s="6">
        <f>HYPERLINK("https://docs.wto.org/imrd/directdoc.asp?DDFDocuments/v/G/TBTN22/EU895A1.DOCX", "https://docs.wto.org/imrd/directdoc.asp?DDFDocuments/v/G/TBTN22/EU895A1.DOCX")</f>
      </c>
    </row>
    <row r="1091">
      <c r="A1091" s="6" t="s">
        <v>160</v>
      </c>
      <c r="B1091" s="7">
        <v>45490</v>
      </c>
      <c r="C1091" s="6">
        <f>HYPERLINK("https://eping.wto.org/en/Search?viewData= G/TBT/N/USA/2132"," G/TBT/N/USA/2132")</f>
      </c>
      <c r="D1091" s="8" t="s">
        <v>3771</v>
      </c>
      <c r="E1091" s="8" t="s">
        <v>3772</v>
      </c>
      <c r="F1091" s="8" t="s">
        <v>3773</v>
      </c>
      <c r="G1091" s="6" t="s">
        <v>40</v>
      </c>
      <c r="H1091" s="6" t="s">
        <v>2152</v>
      </c>
      <c r="I1091" s="6" t="s">
        <v>1815</v>
      </c>
      <c r="J1091" s="6" t="s">
        <v>40</v>
      </c>
      <c r="K1091" s="6"/>
      <c r="L1091" s="7">
        <v>45551</v>
      </c>
      <c r="M1091" s="6" t="s">
        <v>25</v>
      </c>
      <c r="N1091" s="8" t="s">
        <v>3774</v>
      </c>
      <c r="O1091" s="6">
        <f>HYPERLINK("https://docs.wto.org/imrd/directdoc.asp?DDFDocuments/t/G/TBTN24/USA2132.DOCX", "https://docs.wto.org/imrd/directdoc.asp?DDFDocuments/t/G/TBTN24/USA2132.DOCX")</f>
      </c>
      <c r="P1091" s="6">
        <f>HYPERLINK("https://docs.wto.org/imrd/directdoc.asp?DDFDocuments/u/G/TBTN24/USA2132.DOCX", "https://docs.wto.org/imrd/directdoc.asp?DDFDocuments/u/G/TBTN24/USA2132.DOCX")</f>
      </c>
      <c r="Q1091" s="6">
        <f>HYPERLINK("https://docs.wto.org/imrd/directdoc.asp?DDFDocuments/v/G/TBTN24/USA2132.DOCX", "https://docs.wto.org/imrd/directdoc.asp?DDFDocuments/v/G/TBTN24/USA2132.DOCX")</f>
      </c>
    </row>
    <row r="1092">
      <c r="A1092" s="6" t="s">
        <v>1688</v>
      </c>
      <c r="B1092" s="7">
        <v>45490</v>
      </c>
      <c r="C1092" s="6">
        <f>HYPERLINK("https://eping.wto.org/en/Search?viewData= G/SPS/N/THA/615/Add.1"," G/SPS/N/THA/615/Add.1")</f>
      </c>
      <c r="D1092" s="8" t="s">
        <v>3775</v>
      </c>
      <c r="E1092" s="8" t="s">
        <v>3776</v>
      </c>
      <c r="F1092" s="8" t="s">
        <v>3777</v>
      </c>
      <c r="G1092" s="6" t="s">
        <v>3759</v>
      </c>
      <c r="H1092" s="6" t="s">
        <v>2402</v>
      </c>
      <c r="I1092" s="6" t="s">
        <v>38</v>
      </c>
      <c r="J1092" s="6" t="s">
        <v>2589</v>
      </c>
      <c r="K1092" s="6"/>
      <c r="L1092" s="7" t="s">
        <v>40</v>
      </c>
      <c r="M1092" s="6" t="s">
        <v>76</v>
      </c>
      <c r="N1092" s="8" t="s">
        <v>3778</v>
      </c>
      <c r="O1092" s="6">
        <f>HYPERLINK("https://docs.wto.org/imrd/directdoc.asp?DDFDocuments/t/G/SPS/NTHA615A1.DOCX", "https://docs.wto.org/imrd/directdoc.asp?DDFDocuments/t/G/SPS/NTHA615A1.DOCX")</f>
      </c>
      <c r="P1092" s="6">
        <f>HYPERLINK("https://docs.wto.org/imrd/directdoc.asp?DDFDocuments/u/G/SPS/NTHA615A1.DOCX", "https://docs.wto.org/imrd/directdoc.asp?DDFDocuments/u/G/SPS/NTHA615A1.DOCX")</f>
      </c>
      <c r="Q1092" s="6">
        <f>HYPERLINK("https://docs.wto.org/imrd/directdoc.asp?DDFDocuments/v/G/SPS/NTHA615A1.DOCX", "https://docs.wto.org/imrd/directdoc.asp?DDFDocuments/v/G/SPS/NTHA615A1.DOCX")</f>
      </c>
    </row>
    <row r="1093">
      <c r="A1093" s="6" t="s">
        <v>198</v>
      </c>
      <c r="B1093" s="7">
        <v>45490</v>
      </c>
      <c r="C1093" s="6">
        <f>HYPERLINK("https://eping.wto.org/en/Search?viewData= G/SPS/N/CHL/796"," G/SPS/N/CHL/796")</f>
      </c>
      <c r="D1093" s="8" t="s">
        <v>3779</v>
      </c>
      <c r="E1093" s="8" t="s">
        <v>3780</v>
      </c>
      <c r="F1093" s="8" t="s">
        <v>3781</v>
      </c>
      <c r="G1093" s="6" t="s">
        <v>40</v>
      </c>
      <c r="H1093" s="6" t="s">
        <v>40</v>
      </c>
      <c r="I1093" s="6" t="s">
        <v>369</v>
      </c>
      <c r="J1093" s="6" t="s">
        <v>370</v>
      </c>
      <c r="K1093" s="6" t="s">
        <v>40</v>
      </c>
      <c r="L1093" s="7">
        <v>45550</v>
      </c>
      <c r="M1093" s="6" t="s">
        <v>25</v>
      </c>
      <c r="N1093" s="8" t="s">
        <v>3782</v>
      </c>
      <c r="O1093" s="6">
        <f>HYPERLINK("https://docs.wto.org/imrd/directdoc.asp?DDFDocuments/t/G/SPS/NCHL796.DOCX", "https://docs.wto.org/imrd/directdoc.asp?DDFDocuments/t/G/SPS/NCHL796.DOCX")</f>
      </c>
      <c r="P1093" s="6">
        <f>HYPERLINK("https://docs.wto.org/imrd/directdoc.asp?DDFDocuments/u/G/SPS/NCHL796.DOCX", "https://docs.wto.org/imrd/directdoc.asp?DDFDocuments/u/G/SPS/NCHL796.DOCX")</f>
      </c>
      <c r="Q1093" s="6">
        <f>HYPERLINK("https://docs.wto.org/imrd/directdoc.asp?DDFDocuments/v/G/SPS/NCHL796.DOCX", "https://docs.wto.org/imrd/directdoc.asp?DDFDocuments/v/G/SPS/NCHL796.DOCX")</f>
      </c>
    </row>
    <row r="1094">
      <c r="A1094" s="6" t="s">
        <v>1280</v>
      </c>
      <c r="B1094" s="7">
        <v>45490</v>
      </c>
      <c r="C1094" s="6">
        <f>HYPERLINK("https://eping.wto.org/en/Search?viewData= G/SPS/N/ALB/208"," G/SPS/N/ALB/208")</f>
      </c>
      <c r="D1094" s="8" t="s">
        <v>3783</v>
      </c>
      <c r="E1094" s="8" t="s">
        <v>3784</v>
      </c>
      <c r="F1094" s="8" t="s">
        <v>3785</v>
      </c>
      <c r="G1094" s="6" t="s">
        <v>3727</v>
      </c>
      <c r="H1094" s="6" t="s">
        <v>40</v>
      </c>
      <c r="I1094" s="6" t="s">
        <v>852</v>
      </c>
      <c r="J1094" s="6" t="s">
        <v>1858</v>
      </c>
      <c r="K1094" s="6" t="s">
        <v>40</v>
      </c>
      <c r="L1094" s="7" t="s">
        <v>40</v>
      </c>
      <c r="M1094" s="6" t="s">
        <v>25</v>
      </c>
      <c r="N1094" s="8" t="s">
        <v>3786</v>
      </c>
      <c r="O1094" s="6">
        <f>HYPERLINK("https://docs.wto.org/imrd/directdoc.asp?DDFDocuments/t/G/SPS/NALB208.DOCX", "https://docs.wto.org/imrd/directdoc.asp?DDFDocuments/t/G/SPS/NALB208.DOCX")</f>
      </c>
      <c r="P1094" s="6">
        <f>HYPERLINK("https://docs.wto.org/imrd/directdoc.asp?DDFDocuments/u/G/SPS/NALB208.DOCX", "https://docs.wto.org/imrd/directdoc.asp?DDFDocuments/u/G/SPS/NALB208.DOCX")</f>
      </c>
      <c r="Q1094" s="6">
        <f>HYPERLINK("https://docs.wto.org/imrd/directdoc.asp?DDFDocuments/v/G/SPS/NALB208.DOCX", "https://docs.wto.org/imrd/directdoc.asp?DDFDocuments/v/G/SPS/NALB208.DOCX")</f>
      </c>
    </row>
    <row r="1095">
      <c r="A1095" s="6" t="s">
        <v>307</v>
      </c>
      <c r="B1095" s="7">
        <v>45490</v>
      </c>
      <c r="C1095" s="6">
        <f>HYPERLINK("https://eping.wto.org/en/Search?viewData= G/SPS/N/CAN/1561"," G/SPS/N/CAN/1561")</f>
      </c>
      <c r="D1095" s="8" t="s">
        <v>3787</v>
      </c>
      <c r="E1095" s="8" t="s">
        <v>3788</v>
      </c>
      <c r="F1095" s="8" t="s">
        <v>3789</v>
      </c>
      <c r="G1095" s="6" t="s">
        <v>3790</v>
      </c>
      <c r="H1095" s="6" t="s">
        <v>40</v>
      </c>
      <c r="I1095" s="6" t="s">
        <v>38</v>
      </c>
      <c r="J1095" s="6" t="s">
        <v>60</v>
      </c>
      <c r="K1095" s="6" t="s">
        <v>40</v>
      </c>
      <c r="L1095" s="7">
        <v>45559</v>
      </c>
      <c r="M1095" s="6" t="s">
        <v>25</v>
      </c>
      <c r="N1095" s="6"/>
      <c r="O1095" s="6">
        <f>HYPERLINK("https://docs.wto.org/imrd/directdoc.asp?DDFDocuments/t/G/SPS/NCAN1561.DOCX", "https://docs.wto.org/imrd/directdoc.asp?DDFDocuments/t/G/SPS/NCAN1561.DOCX")</f>
      </c>
      <c r="P1095" s="6">
        <f>HYPERLINK("https://docs.wto.org/imrd/directdoc.asp?DDFDocuments/u/G/SPS/NCAN1561.DOCX", "https://docs.wto.org/imrd/directdoc.asp?DDFDocuments/u/G/SPS/NCAN1561.DOCX")</f>
      </c>
      <c r="Q1095" s="6">
        <f>HYPERLINK("https://docs.wto.org/imrd/directdoc.asp?DDFDocuments/v/G/SPS/NCAN1561.DOCX", "https://docs.wto.org/imrd/directdoc.asp?DDFDocuments/v/G/SPS/NCAN1561.DOCX")</f>
      </c>
    </row>
    <row r="1096">
      <c r="A1096" s="6" t="s">
        <v>391</v>
      </c>
      <c r="B1096" s="7">
        <v>45490</v>
      </c>
      <c r="C1096" s="6">
        <f>HYPERLINK("https://eping.wto.org/en/Search?viewData= G/SPS/N/KWT/149"," G/SPS/N/KWT/149")</f>
      </c>
      <c r="D1096" s="8" t="s">
        <v>3791</v>
      </c>
      <c r="E1096" s="8" t="s">
        <v>3792</v>
      </c>
      <c r="F1096" s="8" t="s">
        <v>833</v>
      </c>
      <c r="G1096" s="6" t="s">
        <v>834</v>
      </c>
      <c r="H1096" s="6" t="s">
        <v>826</v>
      </c>
      <c r="I1096" s="6" t="s">
        <v>827</v>
      </c>
      <c r="J1096" s="6" t="s">
        <v>3749</v>
      </c>
      <c r="K1096" s="6" t="s">
        <v>3793</v>
      </c>
      <c r="L1096" s="7" t="s">
        <v>40</v>
      </c>
      <c r="M1096" s="6" t="s">
        <v>356</v>
      </c>
      <c r="N1096" s="8" t="s">
        <v>3794</v>
      </c>
      <c r="O1096" s="6">
        <f>HYPERLINK("https://docs.wto.org/imrd/directdoc.asp?DDFDocuments/t/G/SPS/NKWT149.DOCX", "https://docs.wto.org/imrd/directdoc.asp?DDFDocuments/t/G/SPS/NKWT149.DOCX")</f>
      </c>
      <c r="P1096" s="6">
        <f>HYPERLINK("https://docs.wto.org/imrd/directdoc.asp?DDFDocuments/u/G/SPS/NKWT149.DOCX", "https://docs.wto.org/imrd/directdoc.asp?DDFDocuments/u/G/SPS/NKWT149.DOCX")</f>
      </c>
      <c r="Q1096" s="6">
        <f>HYPERLINK("https://docs.wto.org/imrd/directdoc.asp?DDFDocuments/v/G/SPS/NKWT149.DOCX", "https://docs.wto.org/imrd/directdoc.asp?DDFDocuments/v/G/SPS/NKWT149.DOCX")</f>
      </c>
    </row>
    <row r="1097">
      <c r="A1097" s="6" t="s">
        <v>412</v>
      </c>
      <c r="B1097" s="7">
        <v>45490</v>
      </c>
      <c r="C1097" s="6">
        <f>HYPERLINK("https://eping.wto.org/en/Search?viewData= G/SPS/N/COL/361"," G/SPS/N/COL/361")</f>
      </c>
      <c r="D1097" s="8" t="s">
        <v>3795</v>
      </c>
      <c r="E1097" s="8" t="s">
        <v>3796</v>
      </c>
      <c r="F1097" s="8" t="s">
        <v>3183</v>
      </c>
      <c r="G1097" s="6" t="s">
        <v>3797</v>
      </c>
      <c r="H1097" s="6" t="s">
        <v>40</v>
      </c>
      <c r="I1097" s="6" t="s">
        <v>2669</v>
      </c>
      <c r="J1097" s="6" t="s">
        <v>3798</v>
      </c>
      <c r="K1097" s="6" t="s">
        <v>89</v>
      </c>
      <c r="L1097" s="7" t="s">
        <v>40</v>
      </c>
      <c r="M1097" s="6" t="s">
        <v>356</v>
      </c>
      <c r="N1097" s="8" t="s">
        <v>3799</v>
      </c>
      <c r="O1097" s="6">
        <f>HYPERLINK("https://docs.wto.org/imrd/directdoc.asp?DDFDocuments/t/G/SPS/NCOL361.DOCX", "https://docs.wto.org/imrd/directdoc.asp?DDFDocuments/t/G/SPS/NCOL361.DOCX")</f>
      </c>
      <c r="P1097" s="6">
        <f>HYPERLINK("https://docs.wto.org/imrd/directdoc.asp?DDFDocuments/u/G/SPS/NCOL361.DOCX", "https://docs.wto.org/imrd/directdoc.asp?DDFDocuments/u/G/SPS/NCOL361.DOCX")</f>
      </c>
      <c r="Q1097" s="6">
        <f>HYPERLINK("https://docs.wto.org/imrd/directdoc.asp?DDFDocuments/v/G/SPS/NCOL361.DOCX", "https://docs.wto.org/imrd/directdoc.asp?DDFDocuments/v/G/SPS/NCOL361.DOCX")</f>
      </c>
    </row>
    <row r="1098">
      <c r="A1098" s="6" t="s">
        <v>115</v>
      </c>
      <c r="B1098" s="7">
        <v>45489</v>
      </c>
      <c r="C1098" s="6">
        <f>HYPERLINK("https://eping.wto.org/en/Search?viewData= G/TBT/N/BRA/1556"," G/TBT/N/BRA/1556")</f>
      </c>
      <c r="D1098" s="8" t="s">
        <v>3800</v>
      </c>
      <c r="E1098" s="8" t="s">
        <v>3801</v>
      </c>
      <c r="F1098" s="8" t="s">
        <v>890</v>
      </c>
      <c r="G1098" s="6" t="s">
        <v>1842</v>
      </c>
      <c r="H1098" s="6" t="s">
        <v>109</v>
      </c>
      <c r="I1098" s="6" t="s">
        <v>3802</v>
      </c>
      <c r="J1098" s="6" t="s">
        <v>40</v>
      </c>
      <c r="K1098" s="6"/>
      <c r="L1098" s="7">
        <v>45554</v>
      </c>
      <c r="M1098" s="6" t="s">
        <v>25</v>
      </c>
      <c r="N1098" s="8" t="s">
        <v>3803</v>
      </c>
      <c r="O1098" s="6">
        <f>HYPERLINK("https://docs.wto.org/imrd/directdoc.asp?DDFDocuments/t/G/TBTN24/BRA1556.DOCX", "https://docs.wto.org/imrd/directdoc.asp?DDFDocuments/t/G/TBTN24/BRA1556.DOCX")</f>
      </c>
      <c r="P1098" s="6">
        <f>HYPERLINK("https://docs.wto.org/imrd/directdoc.asp?DDFDocuments/u/G/TBTN24/BRA1556.DOCX", "https://docs.wto.org/imrd/directdoc.asp?DDFDocuments/u/G/TBTN24/BRA1556.DOCX")</f>
      </c>
      <c r="Q1098" s="6">
        <f>HYPERLINK("https://docs.wto.org/imrd/directdoc.asp?DDFDocuments/v/G/TBTN24/BRA1556.DOCX", "https://docs.wto.org/imrd/directdoc.asp?DDFDocuments/v/G/TBTN24/BRA1556.DOCX")</f>
      </c>
    </row>
    <row r="1099">
      <c r="A1099" s="6" t="s">
        <v>160</v>
      </c>
      <c r="B1099" s="7">
        <v>45489</v>
      </c>
      <c r="C1099" s="6">
        <f>HYPERLINK("https://eping.wto.org/en/Search?viewData= G/TBT/N/USA/1055/Add.3"," G/TBT/N/USA/1055/Add.3")</f>
      </c>
      <c r="D1099" s="8" t="s">
        <v>3804</v>
      </c>
      <c r="E1099" s="8" t="s">
        <v>3805</v>
      </c>
      <c r="F1099" s="8" t="s">
        <v>3806</v>
      </c>
      <c r="G1099" s="6" t="s">
        <v>40</v>
      </c>
      <c r="H1099" s="6" t="s">
        <v>3807</v>
      </c>
      <c r="I1099" s="6" t="s">
        <v>75</v>
      </c>
      <c r="J1099" s="6" t="s">
        <v>40</v>
      </c>
      <c r="K1099" s="6"/>
      <c r="L1099" s="7" t="s">
        <v>40</v>
      </c>
      <c r="M1099" s="6" t="s">
        <v>76</v>
      </c>
      <c r="N1099" s="8" t="s">
        <v>3808</v>
      </c>
      <c r="O1099" s="6">
        <f>HYPERLINK("https://docs.wto.org/imrd/directdoc.asp?DDFDocuments/t/G/TBTN15/USA1055A3.DOCX", "https://docs.wto.org/imrd/directdoc.asp?DDFDocuments/t/G/TBTN15/USA1055A3.DOCX")</f>
      </c>
      <c r="P1099" s="6">
        <f>HYPERLINK("https://docs.wto.org/imrd/directdoc.asp?DDFDocuments/u/G/TBTN15/USA1055A3.DOCX", "https://docs.wto.org/imrd/directdoc.asp?DDFDocuments/u/G/TBTN15/USA1055A3.DOCX")</f>
      </c>
      <c r="Q1099" s="6">
        <f>HYPERLINK("https://docs.wto.org/imrd/directdoc.asp?DDFDocuments/v/G/TBTN15/USA1055A3.DOCX", "https://docs.wto.org/imrd/directdoc.asp?DDFDocuments/v/G/TBTN15/USA1055A3.DOCX")</f>
      </c>
    </row>
    <row r="1100">
      <c r="A1100" s="6" t="s">
        <v>115</v>
      </c>
      <c r="B1100" s="7">
        <v>45489</v>
      </c>
      <c r="C1100" s="6">
        <f>HYPERLINK("https://eping.wto.org/en/Search?viewData= G/TBT/N/BRA/1558"," G/TBT/N/BRA/1558")</f>
      </c>
      <c r="D1100" s="8" t="s">
        <v>3809</v>
      </c>
      <c r="E1100" s="8" t="s">
        <v>3810</v>
      </c>
      <c r="F1100" s="8" t="s">
        <v>3811</v>
      </c>
      <c r="G1100" s="6" t="s">
        <v>40</v>
      </c>
      <c r="H1100" s="6" t="s">
        <v>3812</v>
      </c>
      <c r="I1100" s="6" t="s">
        <v>142</v>
      </c>
      <c r="J1100" s="6" t="s">
        <v>40</v>
      </c>
      <c r="K1100" s="6"/>
      <c r="L1100" s="7">
        <v>45545</v>
      </c>
      <c r="M1100" s="6" t="s">
        <v>25</v>
      </c>
      <c r="N1100" s="8" t="s">
        <v>3813</v>
      </c>
      <c r="O1100" s="6">
        <f>HYPERLINK("https://docs.wto.org/imrd/directdoc.asp?DDFDocuments/t/G/TBTN24/BRA1558.DOCX", "https://docs.wto.org/imrd/directdoc.asp?DDFDocuments/t/G/TBTN24/BRA1558.DOCX")</f>
      </c>
      <c r="P1100" s="6">
        <f>HYPERLINK("https://docs.wto.org/imrd/directdoc.asp?DDFDocuments/u/G/TBTN24/BRA1558.DOCX", "https://docs.wto.org/imrd/directdoc.asp?DDFDocuments/u/G/TBTN24/BRA1558.DOCX")</f>
      </c>
      <c r="Q1100" s="6">
        <f>HYPERLINK("https://docs.wto.org/imrd/directdoc.asp?DDFDocuments/v/G/TBTN24/BRA1558.DOCX", "https://docs.wto.org/imrd/directdoc.asp?DDFDocuments/v/G/TBTN24/BRA1558.DOCX")</f>
      </c>
    </row>
    <row r="1101">
      <c r="A1101" s="6" t="s">
        <v>115</v>
      </c>
      <c r="B1101" s="7">
        <v>45489</v>
      </c>
      <c r="C1101" s="6">
        <f>HYPERLINK("https://eping.wto.org/en/Search?viewData= G/TBT/N/BRA/1553/Corr.1"," G/TBT/N/BRA/1553/Corr.1")</f>
      </c>
      <c r="D1101" s="8" t="s">
        <v>3814</v>
      </c>
      <c r="E1101" s="8" t="s">
        <v>3815</v>
      </c>
      <c r="F1101" s="8" t="s">
        <v>3816</v>
      </c>
      <c r="G1101" s="6" t="s">
        <v>3817</v>
      </c>
      <c r="H1101" s="6" t="s">
        <v>3818</v>
      </c>
      <c r="I1101" s="6" t="s">
        <v>3819</v>
      </c>
      <c r="J1101" s="6" t="s">
        <v>40</v>
      </c>
      <c r="K1101" s="6"/>
      <c r="L1101" s="7" t="s">
        <v>40</v>
      </c>
      <c r="M1101" s="6" t="s">
        <v>224</v>
      </c>
      <c r="N1101" s="8" t="s">
        <v>3820</v>
      </c>
      <c r="O1101" s="6">
        <f>HYPERLINK("https://docs.wto.org/imrd/directdoc.asp?DDFDocuments/t/G/TBTN24/BRA1553C1.DOCX", "https://docs.wto.org/imrd/directdoc.asp?DDFDocuments/t/G/TBTN24/BRA1553C1.DOCX")</f>
      </c>
      <c r="P1101" s="6">
        <f>HYPERLINK("https://docs.wto.org/imrd/directdoc.asp?DDFDocuments/u/G/TBTN24/BRA1553C1.DOCX", "https://docs.wto.org/imrd/directdoc.asp?DDFDocuments/u/G/TBTN24/BRA1553C1.DOCX")</f>
      </c>
      <c r="Q1101" s="6">
        <f>HYPERLINK("https://docs.wto.org/imrd/directdoc.asp?DDFDocuments/v/G/TBTN24/BRA1553C1.DOCX", "https://docs.wto.org/imrd/directdoc.asp?DDFDocuments/v/G/TBTN24/BRA1553C1.DOCX")</f>
      </c>
    </row>
    <row r="1102">
      <c r="A1102" s="6" t="s">
        <v>115</v>
      </c>
      <c r="B1102" s="7">
        <v>45489</v>
      </c>
      <c r="C1102" s="6">
        <f>HYPERLINK("https://eping.wto.org/en/Search?viewData= G/TBT/N/BRA/1555/Corr.1"," G/TBT/N/BRA/1555/Corr.1")</f>
      </c>
      <c r="D1102" s="8" t="s">
        <v>3821</v>
      </c>
      <c r="E1102" s="8" t="s">
        <v>3822</v>
      </c>
      <c r="F1102" s="8" t="s">
        <v>3823</v>
      </c>
      <c r="G1102" s="6" t="s">
        <v>3824</v>
      </c>
      <c r="H1102" s="6" t="s">
        <v>3825</v>
      </c>
      <c r="I1102" s="6" t="s">
        <v>3819</v>
      </c>
      <c r="J1102" s="6" t="s">
        <v>3826</v>
      </c>
      <c r="K1102" s="6"/>
      <c r="L1102" s="7" t="s">
        <v>40</v>
      </c>
      <c r="M1102" s="6" t="s">
        <v>224</v>
      </c>
      <c r="N1102" s="8" t="s">
        <v>3827</v>
      </c>
      <c r="O1102" s="6">
        <f>HYPERLINK("https://docs.wto.org/imrd/directdoc.asp?DDFDocuments/t/G/TBTN24/BRA1555C1.DOCX", "https://docs.wto.org/imrd/directdoc.asp?DDFDocuments/t/G/TBTN24/BRA1555C1.DOCX")</f>
      </c>
      <c r="P1102" s="6">
        <f>HYPERLINK("https://docs.wto.org/imrd/directdoc.asp?DDFDocuments/u/G/TBTN24/BRA1555C1.DOCX", "https://docs.wto.org/imrd/directdoc.asp?DDFDocuments/u/G/TBTN24/BRA1555C1.DOCX")</f>
      </c>
      <c r="Q1102" s="6">
        <f>HYPERLINK("https://docs.wto.org/imrd/directdoc.asp?DDFDocuments/v/G/TBTN24/BRA1555C1.DOCX", "https://docs.wto.org/imrd/directdoc.asp?DDFDocuments/v/G/TBTN24/BRA1555C1.DOCX")</f>
      </c>
    </row>
    <row r="1103">
      <c r="A1103" s="6" t="s">
        <v>115</v>
      </c>
      <c r="B1103" s="7">
        <v>45489</v>
      </c>
      <c r="C1103" s="6">
        <f>HYPERLINK("https://eping.wto.org/en/Search?viewData= G/TBT/N/BRA/1557"," G/TBT/N/BRA/1557")</f>
      </c>
      <c r="D1103" s="8" t="s">
        <v>3828</v>
      </c>
      <c r="E1103" s="8" t="s">
        <v>3829</v>
      </c>
      <c r="F1103" s="8" t="s">
        <v>890</v>
      </c>
      <c r="G1103" s="6" t="s">
        <v>1842</v>
      </c>
      <c r="H1103" s="6" t="s">
        <v>109</v>
      </c>
      <c r="I1103" s="6" t="s">
        <v>3802</v>
      </c>
      <c r="J1103" s="6" t="s">
        <v>40</v>
      </c>
      <c r="K1103" s="6"/>
      <c r="L1103" s="7">
        <v>45497</v>
      </c>
      <c r="M1103" s="6" t="s">
        <v>25</v>
      </c>
      <c r="N1103" s="8" t="s">
        <v>3830</v>
      </c>
      <c r="O1103" s="6">
        <f>HYPERLINK("https://docs.wto.org/imrd/directdoc.asp?DDFDocuments/t/G/TBTN24/BRA1557.DOCX", "https://docs.wto.org/imrd/directdoc.asp?DDFDocuments/t/G/TBTN24/BRA1557.DOCX")</f>
      </c>
      <c r="P1103" s="6">
        <f>HYPERLINK("https://docs.wto.org/imrd/directdoc.asp?DDFDocuments/u/G/TBTN24/BRA1557.DOCX", "https://docs.wto.org/imrd/directdoc.asp?DDFDocuments/u/G/TBTN24/BRA1557.DOCX")</f>
      </c>
      <c r="Q1103" s="6">
        <f>HYPERLINK("https://docs.wto.org/imrd/directdoc.asp?DDFDocuments/v/G/TBTN24/BRA1557.DOCX", "https://docs.wto.org/imrd/directdoc.asp?DDFDocuments/v/G/TBTN24/BRA1557.DOCX")</f>
      </c>
    </row>
    <row r="1104">
      <c r="A1104" s="6" t="s">
        <v>115</v>
      </c>
      <c r="B1104" s="7">
        <v>45488</v>
      </c>
      <c r="C1104" s="6">
        <f>HYPERLINK("https://eping.wto.org/en/Search?viewData= G/TBT/N/BRA/1555"," G/TBT/N/BRA/1555")</f>
      </c>
      <c r="D1104" s="8" t="s">
        <v>3831</v>
      </c>
      <c r="E1104" s="8" t="s">
        <v>3832</v>
      </c>
      <c r="F1104" s="8" t="s">
        <v>3823</v>
      </c>
      <c r="G1104" s="6" t="s">
        <v>3833</v>
      </c>
      <c r="H1104" s="6" t="s">
        <v>3834</v>
      </c>
      <c r="I1104" s="6" t="s">
        <v>3819</v>
      </c>
      <c r="J1104" s="6" t="s">
        <v>1095</v>
      </c>
      <c r="K1104" s="6"/>
      <c r="L1104" s="7" t="s">
        <v>40</v>
      </c>
      <c r="M1104" s="6" t="s">
        <v>25</v>
      </c>
      <c r="N1104" s="8" t="s">
        <v>3835</v>
      </c>
      <c r="O1104" s="6">
        <f>HYPERLINK("https://docs.wto.org/imrd/directdoc.asp?DDFDocuments/t/G/TBTN24/BRA1555.DOCX", "https://docs.wto.org/imrd/directdoc.asp?DDFDocuments/t/G/TBTN24/BRA1555.DOCX")</f>
      </c>
      <c r="P1104" s="6">
        <f>HYPERLINK("https://docs.wto.org/imrd/directdoc.asp?DDFDocuments/u/G/TBTN24/BRA1555.DOCX", "https://docs.wto.org/imrd/directdoc.asp?DDFDocuments/u/G/TBTN24/BRA1555.DOCX")</f>
      </c>
      <c r="Q1104" s="6">
        <f>HYPERLINK("https://docs.wto.org/imrd/directdoc.asp?DDFDocuments/v/G/TBTN24/BRA1555.DOCX", "https://docs.wto.org/imrd/directdoc.asp?DDFDocuments/v/G/TBTN24/BRA1555.DOCX")</f>
      </c>
    </row>
    <row r="1105">
      <c r="A1105" s="6" t="s">
        <v>322</v>
      </c>
      <c r="B1105" s="7">
        <v>45488</v>
      </c>
      <c r="C1105" s="6">
        <f>HYPERLINK("https://eping.wto.org/en/Search?viewData= G/TBT/N/TPKM/532/Add.1"," G/TBT/N/TPKM/532/Add.1")</f>
      </c>
      <c r="D1105" s="8" t="s">
        <v>3836</v>
      </c>
      <c r="E1105" s="8" t="s">
        <v>3837</v>
      </c>
      <c r="F1105" s="8" t="s">
        <v>3838</v>
      </c>
      <c r="G1105" s="6" t="s">
        <v>40</v>
      </c>
      <c r="H1105" s="6" t="s">
        <v>3839</v>
      </c>
      <c r="I1105" s="6" t="s">
        <v>134</v>
      </c>
      <c r="J1105" s="6" t="s">
        <v>40</v>
      </c>
      <c r="K1105" s="6"/>
      <c r="L1105" s="7" t="s">
        <v>40</v>
      </c>
      <c r="M1105" s="6" t="s">
        <v>76</v>
      </c>
      <c r="N1105" s="8" t="s">
        <v>3840</v>
      </c>
      <c r="O1105" s="6">
        <f>HYPERLINK("https://docs.wto.org/imrd/directdoc.asp?DDFDocuments/t/G/TBTN23/TPKM532A1.DOCX", "https://docs.wto.org/imrd/directdoc.asp?DDFDocuments/t/G/TBTN23/TPKM532A1.DOCX")</f>
      </c>
      <c r="P1105" s="6">
        <f>HYPERLINK("https://docs.wto.org/imrd/directdoc.asp?DDFDocuments/u/G/TBTN23/TPKM532A1.DOCX", "https://docs.wto.org/imrd/directdoc.asp?DDFDocuments/u/G/TBTN23/TPKM532A1.DOCX")</f>
      </c>
      <c r="Q1105" s="6">
        <f>HYPERLINK("https://docs.wto.org/imrd/directdoc.asp?DDFDocuments/v/G/TBTN23/TPKM532A1.DOCX", "https://docs.wto.org/imrd/directdoc.asp?DDFDocuments/v/G/TBTN23/TPKM532A1.DOCX")</f>
      </c>
    </row>
    <row r="1106">
      <c r="A1106" s="6" t="s">
        <v>115</v>
      </c>
      <c r="B1106" s="7">
        <v>45488</v>
      </c>
      <c r="C1106" s="6">
        <f>HYPERLINK("https://eping.wto.org/en/Search?viewData= G/SPS/N/BRA/2312"," G/SPS/N/BRA/2312")</f>
      </c>
      <c r="D1106" s="8" t="s">
        <v>3841</v>
      </c>
      <c r="E1106" s="8" t="s">
        <v>3842</v>
      </c>
      <c r="F1106" s="8" t="s">
        <v>3843</v>
      </c>
      <c r="G1106" s="6" t="s">
        <v>1513</v>
      </c>
      <c r="H1106" s="6" t="s">
        <v>40</v>
      </c>
      <c r="I1106" s="6" t="s">
        <v>184</v>
      </c>
      <c r="J1106" s="6" t="s">
        <v>410</v>
      </c>
      <c r="K1106" s="6" t="s">
        <v>136</v>
      </c>
      <c r="L1106" s="7" t="s">
        <v>40</v>
      </c>
      <c r="M1106" s="6" t="s">
        <v>25</v>
      </c>
      <c r="N1106" s="8" t="s">
        <v>3844</v>
      </c>
      <c r="O1106" s="6">
        <f>HYPERLINK("https://docs.wto.org/imrd/directdoc.asp?DDFDocuments/t/G/SPS/NBRA2312.DOCX", "https://docs.wto.org/imrd/directdoc.asp?DDFDocuments/t/G/SPS/NBRA2312.DOCX")</f>
      </c>
      <c r="P1106" s="6">
        <f>HYPERLINK("https://docs.wto.org/imrd/directdoc.asp?DDFDocuments/u/G/SPS/NBRA2312.DOCX", "https://docs.wto.org/imrd/directdoc.asp?DDFDocuments/u/G/SPS/NBRA2312.DOCX")</f>
      </c>
      <c r="Q1106" s="6">
        <f>HYPERLINK("https://docs.wto.org/imrd/directdoc.asp?DDFDocuments/v/G/SPS/NBRA2312.DOCX", "https://docs.wto.org/imrd/directdoc.asp?DDFDocuments/v/G/SPS/NBRA2312.DOCX")</f>
      </c>
    </row>
    <row r="1107">
      <c r="A1107" s="6" t="s">
        <v>331</v>
      </c>
      <c r="B1107" s="7">
        <v>45488</v>
      </c>
      <c r="C1107" s="6">
        <f>HYPERLINK("https://eping.wto.org/en/Search?viewData= G/TBT/N/ARE/616, G/TBT/N/BHR/702, G/TBT/N/KWT/682, G/TBT/N/OMN/527, G/TBT/N/QAT/678, G/TBT/N/SAU/1340, G/TBT/N/YEM/284"," G/TBT/N/ARE/616, G/TBT/N/BHR/702, G/TBT/N/KWT/682, G/TBT/N/OMN/527, G/TBT/N/QAT/678, G/TBT/N/SAU/1340, G/TBT/N/YEM/284")</f>
      </c>
      <c r="D1107" s="8" t="s">
        <v>3845</v>
      </c>
      <c r="E1107" s="8" t="s">
        <v>3846</v>
      </c>
      <c r="F1107" s="8" t="s">
        <v>334</v>
      </c>
      <c r="G1107" s="6" t="s">
        <v>40</v>
      </c>
      <c r="H1107" s="6" t="s">
        <v>336</v>
      </c>
      <c r="I1107" s="6" t="s">
        <v>259</v>
      </c>
      <c r="J1107" s="6" t="s">
        <v>24</v>
      </c>
      <c r="K1107" s="6"/>
      <c r="L1107" s="7">
        <v>45548</v>
      </c>
      <c r="M1107" s="6" t="s">
        <v>25</v>
      </c>
      <c r="N1107" s="8" t="s">
        <v>3847</v>
      </c>
      <c r="O1107" s="6">
        <f>HYPERLINK("https://docs.wto.org/imrd/directdoc.asp?DDFDocuments/t/G/TBTN24/ARE616.DOCX", "https://docs.wto.org/imrd/directdoc.asp?DDFDocuments/t/G/TBTN24/ARE616.DOCX")</f>
      </c>
      <c r="P1107" s="6">
        <f>HYPERLINK("https://docs.wto.org/imrd/directdoc.asp?DDFDocuments/u/G/TBTN24/ARE616.DOCX", "https://docs.wto.org/imrd/directdoc.asp?DDFDocuments/u/G/TBTN24/ARE616.DOCX")</f>
      </c>
      <c r="Q1107" s="6">
        <f>HYPERLINK("https://docs.wto.org/imrd/directdoc.asp?DDFDocuments/v/G/TBTN24/ARE616.DOCX", "https://docs.wto.org/imrd/directdoc.asp?DDFDocuments/v/G/TBTN24/ARE616.DOCX")</f>
      </c>
    </row>
    <row r="1108">
      <c r="A1108" s="6" t="s">
        <v>372</v>
      </c>
      <c r="B1108" s="7">
        <v>45488</v>
      </c>
      <c r="C1108" s="6">
        <f>HYPERLINK("https://eping.wto.org/en/Search?viewData= G/TBT/N/ARE/615, G/TBT/N/BHR/701, G/TBT/N/KWT/681, G/TBT/N/OMN/526, G/TBT/N/QAT/677, G/TBT/N/SAU/1339, G/TBT/N/YEM/283"," G/TBT/N/ARE/615, G/TBT/N/BHR/701, G/TBT/N/KWT/681, G/TBT/N/OMN/526, G/TBT/N/QAT/677, G/TBT/N/SAU/1339, G/TBT/N/YEM/283")</f>
      </c>
      <c r="D1108" s="8" t="s">
        <v>3848</v>
      </c>
      <c r="E1108" s="8" t="s">
        <v>3849</v>
      </c>
      <c r="F1108" s="8" t="s">
        <v>3850</v>
      </c>
      <c r="G1108" s="6" t="s">
        <v>3851</v>
      </c>
      <c r="H1108" s="6" t="s">
        <v>1104</v>
      </c>
      <c r="I1108" s="6" t="s">
        <v>259</v>
      </c>
      <c r="J1108" s="6" t="s">
        <v>24</v>
      </c>
      <c r="K1108" s="6"/>
      <c r="L1108" s="7">
        <v>45548</v>
      </c>
      <c r="M1108" s="6" t="s">
        <v>25</v>
      </c>
      <c r="N1108" s="8" t="s">
        <v>3852</v>
      </c>
      <c r="O1108" s="6">
        <f>HYPERLINK("https://docs.wto.org/imrd/directdoc.asp?DDFDocuments/t/G/TBTN24/ARE615.DOCX", "https://docs.wto.org/imrd/directdoc.asp?DDFDocuments/t/G/TBTN24/ARE615.DOCX")</f>
      </c>
      <c r="P1108" s="6">
        <f>HYPERLINK("https://docs.wto.org/imrd/directdoc.asp?DDFDocuments/u/G/TBTN24/ARE615.DOCX", "https://docs.wto.org/imrd/directdoc.asp?DDFDocuments/u/G/TBTN24/ARE615.DOCX")</f>
      </c>
      <c r="Q1108" s="6">
        <f>HYPERLINK("https://docs.wto.org/imrd/directdoc.asp?DDFDocuments/v/G/TBTN24/ARE615.DOCX", "https://docs.wto.org/imrd/directdoc.asp?DDFDocuments/v/G/TBTN24/ARE615.DOCX")</f>
      </c>
    </row>
    <row r="1109">
      <c r="A1109" s="6" t="s">
        <v>344</v>
      </c>
      <c r="B1109" s="7">
        <v>45488</v>
      </c>
      <c r="C1109" s="6">
        <f>HYPERLINK("https://eping.wto.org/en/Search?viewData= G/TBT/N/ARE/616, G/TBT/N/BHR/702, G/TBT/N/KWT/682, G/TBT/N/OMN/527, G/TBT/N/QAT/678, G/TBT/N/SAU/1340, G/TBT/N/YEM/284"," G/TBT/N/ARE/616, G/TBT/N/BHR/702, G/TBT/N/KWT/682, G/TBT/N/OMN/527, G/TBT/N/QAT/678, G/TBT/N/SAU/1340, G/TBT/N/YEM/284")</f>
      </c>
      <c r="D1109" s="8" t="s">
        <v>3845</v>
      </c>
      <c r="E1109" s="8" t="s">
        <v>3846</v>
      </c>
      <c r="F1109" s="8" t="s">
        <v>334</v>
      </c>
      <c r="G1109" s="6" t="s">
        <v>40</v>
      </c>
      <c r="H1109" s="6" t="s">
        <v>336</v>
      </c>
      <c r="I1109" s="6" t="s">
        <v>259</v>
      </c>
      <c r="J1109" s="6" t="s">
        <v>24</v>
      </c>
      <c r="K1109" s="6"/>
      <c r="L1109" s="7">
        <v>45548</v>
      </c>
      <c r="M1109" s="6" t="s">
        <v>25</v>
      </c>
      <c r="N1109" s="8" t="s">
        <v>3847</v>
      </c>
      <c r="O1109" s="6">
        <f>HYPERLINK("https://docs.wto.org/imrd/directdoc.asp?DDFDocuments/t/G/TBTN24/ARE616.DOCX", "https://docs.wto.org/imrd/directdoc.asp?DDFDocuments/t/G/TBTN24/ARE616.DOCX")</f>
      </c>
      <c r="P1109" s="6">
        <f>HYPERLINK("https://docs.wto.org/imrd/directdoc.asp?DDFDocuments/u/G/TBTN24/ARE616.DOCX", "https://docs.wto.org/imrd/directdoc.asp?DDFDocuments/u/G/TBTN24/ARE616.DOCX")</f>
      </c>
      <c r="Q1109" s="6">
        <f>HYPERLINK("https://docs.wto.org/imrd/directdoc.asp?DDFDocuments/v/G/TBTN24/ARE616.DOCX", "https://docs.wto.org/imrd/directdoc.asp?DDFDocuments/v/G/TBTN24/ARE616.DOCX")</f>
      </c>
    </row>
    <row r="1110">
      <c r="A1110" s="6" t="s">
        <v>391</v>
      </c>
      <c r="B1110" s="7">
        <v>45488</v>
      </c>
      <c r="C1110" s="6">
        <f>HYPERLINK("https://eping.wto.org/en/Search?viewData= G/TBT/N/ARE/616, G/TBT/N/BHR/702, G/TBT/N/KWT/682, G/TBT/N/OMN/527, G/TBT/N/QAT/678, G/TBT/N/SAU/1340, G/TBT/N/YEM/284"," G/TBT/N/ARE/616, G/TBT/N/BHR/702, G/TBT/N/KWT/682, G/TBT/N/OMN/527, G/TBT/N/QAT/678, G/TBT/N/SAU/1340, G/TBT/N/YEM/284")</f>
      </c>
      <c r="D1110" s="8" t="s">
        <v>3845</v>
      </c>
      <c r="E1110" s="8" t="s">
        <v>3846</v>
      </c>
      <c r="F1110" s="8" t="s">
        <v>334</v>
      </c>
      <c r="G1110" s="6" t="s">
        <v>40</v>
      </c>
      <c r="H1110" s="6" t="s">
        <v>336</v>
      </c>
      <c r="I1110" s="6" t="s">
        <v>259</v>
      </c>
      <c r="J1110" s="6" t="s">
        <v>24</v>
      </c>
      <c r="K1110" s="6"/>
      <c r="L1110" s="7">
        <v>45548</v>
      </c>
      <c r="M1110" s="6" t="s">
        <v>25</v>
      </c>
      <c r="N1110" s="8" t="s">
        <v>3847</v>
      </c>
      <c r="O1110" s="6">
        <f>HYPERLINK("https://docs.wto.org/imrd/directdoc.asp?DDFDocuments/t/G/TBTN24/ARE616.DOCX", "https://docs.wto.org/imrd/directdoc.asp?DDFDocuments/t/G/TBTN24/ARE616.DOCX")</f>
      </c>
      <c r="P1110" s="6">
        <f>HYPERLINK("https://docs.wto.org/imrd/directdoc.asp?DDFDocuments/u/G/TBTN24/ARE616.DOCX", "https://docs.wto.org/imrd/directdoc.asp?DDFDocuments/u/G/TBTN24/ARE616.DOCX")</f>
      </c>
      <c r="Q1110" s="6">
        <f>HYPERLINK("https://docs.wto.org/imrd/directdoc.asp?DDFDocuments/v/G/TBTN24/ARE616.DOCX", "https://docs.wto.org/imrd/directdoc.asp?DDFDocuments/v/G/TBTN24/ARE616.DOCX")</f>
      </c>
    </row>
    <row r="1111">
      <c r="A1111" s="6" t="s">
        <v>392</v>
      </c>
      <c r="B1111" s="7">
        <v>45488</v>
      </c>
      <c r="C1111" s="6">
        <f>HYPERLINK("https://eping.wto.org/en/Search?viewData= G/TBT/N/ARE/615, G/TBT/N/BHR/701, G/TBT/N/KWT/681, G/TBT/N/OMN/526, G/TBT/N/QAT/677, G/TBT/N/SAU/1339, G/TBT/N/YEM/283"," G/TBT/N/ARE/615, G/TBT/N/BHR/701, G/TBT/N/KWT/681, G/TBT/N/OMN/526, G/TBT/N/QAT/677, G/TBT/N/SAU/1339, G/TBT/N/YEM/283")</f>
      </c>
      <c r="D1111" s="8" t="s">
        <v>3848</v>
      </c>
      <c r="E1111" s="8" t="s">
        <v>3849</v>
      </c>
      <c r="F1111" s="8" t="s">
        <v>3850</v>
      </c>
      <c r="G1111" s="6" t="s">
        <v>3851</v>
      </c>
      <c r="H1111" s="6" t="s">
        <v>1104</v>
      </c>
      <c r="I1111" s="6" t="s">
        <v>259</v>
      </c>
      <c r="J1111" s="6" t="s">
        <v>24</v>
      </c>
      <c r="K1111" s="6"/>
      <c r="L1111" s="7">
        <v>45548</v>
      </c>
      <c r="M1111" s="6" t="s">
        <v>25</v>
      </c>
      <c r="N1111" s="8" t="s">
        <v>3852</v>
      </c>
      <c r="O1111" s="6">
        <f>HYPERLINK("https://docs.wto.org/imrd/directdoc.asp?DDFDocuments/t/G/TBTN24/ARE615.DOCX", "https://docs.wto.org/imrd/directdoc.asp?DDFDocuments/t/G/TBTN24/ARE615.DOCX")</f>
      </c>
      <c r="P1111" s="6">
        <f>HYPERLINK("https://docs.wto.org/imrd/directdoc.asp?DDFDocuments/u/G/TBTN24/ARE615.DOCX", "https://docs.wto.org/imrd/directdoc.asp?DDFDocuments/u/G/TBTN24/ARE615.DOCX")</f>
      </c>
      <c r="Q1111" s="6">
        <f>HYPERLINK("https://docs.wto.org/imrd/directdoc.asp?DDFDocuments/v/G/TBTN24/ARE615.DOCX", "https://docs.wto.org/imrd/directdoc.asp?DDFDocuments/v/G/TBTN24/ARE615.DOCX")</f>
      </c>
    </row>
    <row r="1112">
      <c r="A1112" s="6" t="s">
        <v>307</v>
      </c>
      <c r="B1112" s="7">
        <v>45488</v>
      </c>
      <c r="C1112" s="6">
        <f>HYPERLINK("https://eping.wto.org/en/Search?viewData= G/TBT/N/CAN/675/Add.2"," G/TBT/N/CAN/675/Add.2")</f>
      </c>
      <c r="D1112" s="8" t="s">
        <v>3853</v>
      </c>
      <c r="E1112" s="8" t="s">
        <v>3854</v>
      </c>
      <c r="F1112" s="8" t="s">
        <v>3855</v>
      </c>
      <c r="G1112" s="6" t="s">
        <v>40</v>
      </c>
      <c r="H1112" s="6" t="s">
        <v>153</v>
      </c>
      <c r="I1112" s="6" t="s">
        <v>142</v>
      </c>
      <c r="J1112" s="6" t="s">
        <v>154</v>
      </c>
      <c r="K1112" s="6"/>
      <c r="L1112" s="7" t="s">
        <v>40</v>
      </c>
      <c r="M1112" s="6" t="s">
        <v>76</v>
      </c>
      <c r="N1112" s="8" t="s">
        <v>3856</v>
      </c>
      <c r="O1112" s="6">
        <f>HYPERLINK("https://docs.wto.org/imrd/directdoc.asp?DDFDocuments/t/G/TBTN22/CAN675A2.DOCX", "https://docs.wto.org/imrd/directdoc.asp?DDFDocuments/t/G/TBTN22/CAN675A2.DOCX")</f>
      </c>
      <c r="P1112" s="6">
        <f>HYPERLINK("https://docs.wto.org/imrd/directdoc.asp?DDFDocuments/u/G/TBTN22/CAN675A2.DOCX", "https://docs.wto.org/imrd/directdoc.asp?DDFDocuments/u/G/TBTN22/CAN675A2.DOCX")</f>
      </c>
      <c r="Q1112" s="6">
        <f>HYPERLINK("https://docs.wto.org/imrd/directdoc.asp?DDFDocuments/v/G/TBTN22/CAN675A2.DOCX", "https://docs.wto.org/imrd/directdoc.asp?DDFDocuments/v/G/TBTN22/CAN675A2.DOCX")</f>
      </c>
    </row>
    <row r="1113">
      <c r="A1113" s="6" t="s">
        <v>392</v>
      </c>
      <c r="B1113" s="7">
        <v>45488</v>
      </c>
      <c r="C1113" s="6">
        <f>HYPERLINK("https://eping.wto.org/en/Search?viewData= G/TBT/N/ARE/616, G/TBT/N/BHR/702, G/TBT/N/KWT/682, G/TBT/N/OMN/527, G/TBT/N/QAT/678, G/TBT/N/SAU/1340, G/TBT/N/YEM/284"," G/TBT/N/ARE/616, G/TBT/N/BHR/702, G/TBT/N/KWT/682, G/TBT/N/OMN/527, G/TBT/N/QAT/678, G/TBT/N/SAU/1340, G/TBT/N/YEM/284")</f>
      </c>
      <c r="D1113" s="8" t="s">
        <v>3845</v>
      </c>
      <c r="E1113" s="8" t="s">
        <v>3846</v>
      </c>
      <c r="F1113" s="8" t="s">
        <v>334</v>
      </c>
      <c r="G1113" s="6" t="s">
        <v>40</v>
      </c>
      <c r="H1113" s="6" t="s">
        <v>336</v>
      </c>
      <c r="I1113" s="6" t="s">
        <v>259</v>
      </c>
      <c r="J1113" s="6" t="s">
        <v>24</v>
      </c>
      <c r="K1113" s="6"/>
      <c r="L1113" s="7">
        <v>45548</v>
      </c>
      <c r="M1113" s="6" t="s">
        <v>25</v>
      </c>
      <c r="N1113" s="8" t="s">
        <v>3847</v>
      </c>
      <c r="O1113" s="6">
        <f>HYPERLINK("https://docs.wto.org/imrd/directdoc.asp?DDFDocuments/t/G/TBTN24/ARE616.DOCX", "https://docs.wto.org/imrd/directdoc.asp?DDFDocuments/t/G/TBTN24/ARE616.DOCX")</f>
      </c>
      <c r="P1113" s="6">
        <f>HYPERLINK("https://docs.wto.org/imrd/directdoc.asp?DDFDocuments/u/G/TBTN24/ARE616.DOCX", "https://docs.wto.org/imrd/directdoc.asp?DDFDocuments/u/G/TBTN24/ARE616.DOCX")</f>
      </c>
      <c r="Q1113" s="6">
        <f>HYPERLINK("https://docs.wto.org/imrd/directdoc.asp?DDFDocuments/v/G/TBTN24/ARE616.DOCX", "https://docs.wto.org/imrd/directdoc.asp?DDFDocuments/v/G/TBTN24/ARE616.DOCX")</f>
      </c>
    </row>
    <row r="1114">
      <c r="A1114" s="6" t="s">
        <v>393</v>
      </c>
      <c r="B1114" s="7">
        <v>45488</v>
      </c>
      <c r="C1114" s="6">
        <f>HYPERLINK("https://eping.wto.org/en/Search?viewData= G/TBT/N/ARE/616, G/TBT/N/BHR/702, G/TBT/N/KWT/682, G/TBT/N/OMN/527, G/TBT/N/QAT/678, G/TBT/N/SAU/1340, G/TBT/N/YEM/284"," G/TBT/N/ARE/616, G/TBT/N/BHR/702, G/TBT/N/KWT/682, G/TBT/N/OMN/527, G/TBT/N/QAT/678, G/TBT/N/SAU/1340, G/TBT/N/YEM/284")</f>
      </c>
      <c r="D1114" s="8" t="s">
        <v>3845</v>
      </c>
      <c r="E1114" s="8" t="s">
        <v>3846</v>
      </c>
      <c r="F1114" s="8" t="s">
        <v>334</v>
      </c>
      <c r="G1114" s="6" t="s">
        <v>40</v>
      </c>
      <c r="H1114" s="6" t="s">
        <v>336</v>
      </c>
      <c r="I1114" s="6" t="s">
        <v>259</v>
      </c>
      <c r="J1114" s="6" t="s">
        <v>24</v>
      </c>
      <c r="K1114" s="6"/>
      <c r="L1114" s="7">
        <v>45548</v>
      </c>
      <c r="M1114" s="6" t="s">
        <v>25</v>
      </c>
      <c r="N1114" s="8" t="s">
        <v>3847</v>
      </c>
      <c r="O1114" s="6">
        <f>HYPERLINK("https://docs.wto.org/imrd/directdoc.asp?DDFDocuments/t/G/TBTN24/ARE616.DOCX", "https://docs.wto.org/imrd/directdoc.asp?DDFDocuments/t/G/TBTN24/ARE616.DOCX")</f>
      </c>
      <c r="P1114" s="6">
        <f>HYPERLINK("https://docs.wto.org/imrd/directdoc.asp?DDFDocuments/u/G/TBTN24/ARE616.DOCX", "https://docs.wto.org/imrd/directdoc.asp?DDFDocuments/u/G/TBTN24/ARE616.DOCX")</f>
      </c>
      <c r="Q1114" s="6">
        <f>HYPERLINK("https://docs.wto.org/imrd/directdoc.asp?DDFDocuments/v/G/TBTN24/ARE616.DOCX", "https://docs.wto.org/imrd/directdoc.asp?DDFDocuments/v/G/TBTN24/ARE616.DOCX")</f>
      </c>
    </row>
    <row r="1115">
      <c r="A1115" s="6" t="s">
        <v>450</v>
      </c>
      <c r="B1115" s="7">
        <v>45488</v>
      </c>
      <c r="C1115" s="6">
        <f>HYPERLINK("https://eping.wto.org/en/Search?viewData= G/TBT/N/EGY/3/Add.83"," G/TBT/N/EGY/3/Add.83")</f>
      </c>
      <c r="D1115" s="8" t="s">
        <v>3857</v>
      </c>
      <c r="E1115" s="8" t="s">
        <v>3858</v>
      </c>
      <c r="F1115" s="8" t="s">
        <v>3859</v>
      </c>
      <c r="G1115" s="6" t="s">
        <v>40</v>
      </c>
      <c r="H1115" s="6" t="s">
        <v>3860</v>
      </c>
      <c r="I1115" s="6" t="s">
        <v>40</v>
      </c>
      <c r="J1115" s="6" t="s">
        <v>40</v>
      </c>
      <c r="K1115" s="6"/>
      <c r="L1115" s="7" t="s">
        <v>40</v>
      </c>
      <c r="M1115" s="6" t="s">
        <v>76</v>
      </c>
      <c r="N1115" s="6"/>
      <c r="O1115" s="6">
        <f>HYPERLINK("https://docs.wto.org/imrd/directdoc.asp?DDFDocuments/t/G/TBTN13/EGY3A83.DOCX", "https://docs.wto.org/imrd/directdoc.asp?DDFDocuments/t/G/TBTN13/EGY3A83.DOCX")</f>
      </c>
      <c r="P1115" s="6">
        <f>HYPERLINK("https://docs.wto.org/imrd/directdoc.asp?DDFDocuments/u/G/TBTN13/EGY3A83.DOCX", "https://docs.wto.org/imrd/directdoc.asp?DDFDocuments/u/G/TBTN13/EGY3A83.DOCX")</f>
      </c>
      <c r="Q1115" s="6">
        <f>HYPERLINK("https://docs.wto.org/imrd/directdoc.asp?DDFDocuments/v/G/TBTN13/EGY3A83.DOCX", "https://docs.wto.org/imrd/directdoc.asp?DDFDocuments/v/G/TBTN13/EGY3A83.DOCX")</f>
      </c>
    </row>
    <row r="1116">
      <c r="A1116" s="6" t="s">
        <v>89</v>
      </c>
      <c r="B1116" s="7">
        <v>45488</v>
      </c>
      <c r="C1116" s="6">
        <f>HYPERLINK("https://eping.wto.org/en/Search?viewData= G/TBT/N/ECU/503/Add.4"," G/TBT/N/ECU/503/Add.4")</f>
      </c>
      <c r="D1116" s="8" t="s">
        <v>3861</v>
      </c>
      <c r="E1116" s="8" t="s">
        <v>3862</v>
      </c>
      <c r="F1116" s="8" t="s">
        <v>3863</v>
      </c>
      <c r="G1116" s="6" t="s">
        <v>40</v>
      </c>
      <c r="H1116" s="6" t="s">
        <v>2990</v>
      </c>
      <c r="I1116" s="6" t="s">
        <v>3864</v>
      </c>
      <c r="J1116" s="6" t="s">
        <v>40</v>
      </c>
      <c r="K1116" s="6"/>
      <c r="L1116" s="7" t="s">
        <v>40</v>
      </c>
      <c r="M1116" s="6" t="s">
        <v>76</v>
      </c>
      <c r="N1116" s="8" t="s">
        <v>3865</v>
      </c>
      <c r="O1116" s="6">
        <f>HYPERLINK("https://docs.wto.org/imrd/directdoc.asp?DDFDocuments/t/G/TBTN21/ECU503A4.DOCX", "https://docs.wto.org/imrd/directdoc.asp?DDFDocuments/t/G/TBTN21/ECU503A4.DOCX")</f>
      </c>
      <c r="P1116" s="6">
        <f>HYPERLINK("https://docs.wto.org/imrd/directdoc.asp?DDFDocuments/u/G/TBTN21/ECU503A4.DOCX", "https://docs.wto.org/imrd/directdoc.asp?DDFDocuments/u/G/TBTN21/ECU503A4.DOCX")</f>
      </c>
      <c r="Q1116" s="6">
        <f>HYPERLINK("https://docs.wto.org/imrd/directdoc.asp?DDFDocuments/v/G/TBTN21/ECU503A4.DOCX", "https://docs.wto.org/imrd/directdoc.asp?DDFDocuments/v/G/TBTN21/ECU503A4.DOCX")</f>
      </c>
    </row>
    <row r="1117">
      <c r="A1117" s="6" t="s">
        <v>343</v>
      </c>
      <c r="B1117" s="7">
        <v>45488</v>
      </c>
      <c r="C1117" s="6">
        <f>HYPERLINK("https://eping.wto.org/en/Search?viewData= G/TBT/N/ARE/616, G/TBT/N/BHR/702, G/TBT/N/KWT/682, G/TBT/N/OMN/527, G/TBT/N/QAT/678, G/TBT/N/SAU/1340, G/TBT/N/YEM/284"," G/TBT/N/ARE/616, G/TBT/N/BHR/702, G/TBT/N/KWT/682, G/TBT/N/OMN/527, G/TBT/N/QAT/678, G/TBT/N/SAU/1340, G/TBT/N/YEM/284")</f>
      </c>
      <c r="D1117" s="8" t="s">
        <v>3845</v>
      </c>
      <c r="E1117" s="8" t="s">
        <v>3846</v>
      </c>
      <c r="F1117" s="8" t="s">
        <v>334</v>
      </c>
      <c r="G1117" s="6" t="s">
        <v>40</v>
      </c>
      <c r="H1117" s="6" t="s">
        <v>336</v>
      </c>
      <c r="I1117" s="6" t="s">
        <v>259</v>
      </c>
      <c r="J1117" s="6" t="s">
        <v>24</v>
      </c>
      <c r="K1117" s="6"/>
      <c r="L1117" s="7">
        <v>45548</v>
      </c>
      <c r="M1117" s="6" t="s">
        <v>25</v>
      </c>
      <c r="N1117" s="8" t="s">
        <v>3847</v>
      </c>
      <c r="O1117" s="6">
        <f>HYPERLINK("https://docs.wto.org/imrd/directdoc.asp?DDFDocuments/t/G/TBTN24/ARE616.DOCX", "https://docs.wto.org/imrd/directdoc.asp?DDFDocuments/t/G/TBTN24/ARE616.DOCX")</f>
      </c>
      <c r="P1117" s="6">
        <f>HYPERLINK("https://docs.wto.org/imrd/directdoc.asp?DDFDocuments/u/G/TBTN24/ARE616.DOCX", "https://docs.wto.org/imrd/directdoc.asp?DDFDocuments/u/G/TBTN24/ARE616.DOCX")</f>
      </c>
      <c r="Q1117" s="6">
        <f>HYPERLINK("https://docs.wto.org/imrd/directdoc.asp?DDFDocuments/v/G/TBTN24/ARE616.DOCX", "https://docs.wto.org/imrd/directdoc.asp?DDFDocuments/v/G/TBTN24/ARE616.DOCX")</f>
      </c>
    </row>
    <row r="1118">
      <c r="A1118" s="6" t="s">
        <v>343</v>
      </c>
      <c r="B1118" s="7">
        <v>45488</v>
      </c>
      <c r="C1118" s="6">
        <f>HYPERLINK("https://eping.wto.org/en/Search?viewData= G/TBT/N/ARE/615, G/TBT/N/BHR/701, G/TBT/N/KWT/681, G/TBT/N/OMN/526, G/TBT/N/QAT/677, G/TBT/N/SAU/1339, G/TBT/N/YEM/283"," G/TBT/N/ARE/615, G/TBT/N/BHR/701, G/TBT/N/KWT/681, G/TBT/N/OMN/526, G/TBT/N/QAT/677, G/TBT/N/SAU/1339, G/TBT/N/YEM/283")</f>
      </c>
      <c r="D1118" s="8" t="s">
        <v>3848</v>
      </c>
      <c r="E1118" s="8" t="s">
        <v>3849</v>
      </c>
      <c r="F1118" s="8" t="s">
        <v>3850</v>
      </c>
      <c r="G1118" s="6" t="s">
        <v>3851</v>
      </c>
      <c r="H1118" s="6" t="s">
        <v>1104</v>
      </c>
      <c r="I1118" s="6" t="s">
        <v>259</v>
      </c>
      <c r="J1118" s="6" t="s">
        <v>24</v>
      </c>
      <c r="K1118" s="6"/>
      <c r="L1118" s="7">
        <v>45548</v>
      </c>
      <c r="M1118" s="6" t="s">
        <v>25</v>
      </c>
      <c r="N1118" s="8" t="s">
        <v>3852</v>
      </c>
      <c r="O1118" s="6">
        <f>HYPERLINK("https://docs.wto.org/imrd/directdoc.asp?DDFDocuments/t/G/TBTN24/ARE615.DOCX", "https://docs.wto.org/imrd/directdoc.asp?DDFDocuments/t/G/TBTN24/ARE615.DOCX")</f>
      </c>
      <c r="P1118" s="6">
        <f>HYPERLINK("https://docs.wto.org/imrd/directdoc.asp?DDFDocuments/u/G/TBTN24/ARE615.DOCX", "https://docs.wto.org/imrd/directdoc.asp?DDFDocuments/u/G/TBTN24/ARE615.DOCX")</f>
      </c>
      <c r="Q1118" s="6">
        <f>HYPERLINK("https://docs.wto.org/imrd/directdoc.asp?DDFDocuments/v/G/TBTN24/ARE615.DOCX", "https://docs.wto.org/imrd/directdoc.asp?DDFDocuments/v/G/TBTN24/ARE615.DOCX")</f>
      </c>
    </row>
    <row r="1119">
      <c r="A1119" s="6" t="s">
        <v>344</v>
      </c>
      <c r="B1119" s="7">
        <v>45488</v>
      </c>
      <c r="C1119" s="6">
        <f>HYPERLINK("https://eping.wto.org/en/Search?viewData= G/TBT/N/ARE/615, G/TBT/N/BHR/701, G/TBT/N/KWT/681, G/TBT/N/OMN/526, G/TBT/N/QAT/677, G/TBT/N/SAU/1339, G/TBT/N/YEM/283"," G/TBT/N/ARE/615, G/TBT/N/BHR/701, G/TBT/N/KWT/681, G/TBT/N/OMN/526, G/TBT/N/QAT/677, G/TBT/N/SAU/1339, G/TBT/N/YEM/283")</f>
      </c>
      <c r="D1119" s="8" t="s">
        <v>3848</v>
      </c>
      <c r="E1119" s="8" t="s">
        <v>3849</v>
      </c>
      <c r="F1119" s="8" t="s">
        <v>3850</v>
      </c>
      <c r="G1119" s="6" t="s">
        <v>3851</v>
      </c>
      <c r="H1119" s="6" t="s">
        <v>1104</v>
      </c>
      <c r="I1119" s="6" t="s">
        <v>259</v>
      </c>
      <c r="J1119" s="6" t="s">
        <v>24</v>
      </c>
      <c r="K1119" s="6"/>
      <c r="L1119" s="7">
        <v>45548</v>
      </c>
      <c r="M1119" s="6" t="s">
        <v>25</v>
      </c>
      <c r="N1119" s="8" t="s">
        <v>3852</v>
      </c>
      <c r="O1119" s="6">
        <f>HYPERLINK("https://docs.wto.org/imrd/directdoc.asp?DDFDocuments/t/G/TBTN24/ARE615.DOCX", "https://docs.wto.org/imrd/directdoc.asp?DDFDocuments/t/G/TBTN24/ARE615.DOCX")</f>
      </c>
      <c r="P1119" s="6">
        <f>HYPERLINK("https://docs.wto.org/imrd/directdoc.asp?DDFDocuments/u/G/TBTN24/ARE615.DOCX", "https://docs.wto.org/imrd/directdoc.asp?DDFDocuments/u/G/TBTN24/ARE615.DOCX")</f>
      </c>
      <c r="Q1119" s="6">
        <f>HYPERLINK("https://docs.wto.org/imrd/directdoc.asp?DDFDocuments/v/G/TBTN24/ARE615.DOCX", "https://docs.wto.org/imrd/directdoc.asp?DDFDocuments/v/G/TBTN24/ARE615.DOCX")</f>
      </c>
    </row>
    <row r="1120">
      <c r="A1120" s="6" t="s">
        <v>372</v>
      </c>
      <c r="B1120" s="7">
        <v>45488</v>
      </c>
      <c r="C1120" s="6">
        <f>HYPERLINK("https://eping.wto.org/en/Search?viewData= G/TBT/N/ARE/616, G/TBT/N/BHR/702, G/TBT/N/KWT/682, G/TBT/N/OMN/527, G/TBT/N/QAT/678, G/TBT/N/SAU/1340, G/TBT/N/YEM/284"," G/TBT/N/ARE/616, G/TBT/N/BHR/702, G/TBT/N/KWT/682, G/TBT/N/OMN/527, G/TBT/N/QAT/678, G/TBT/N/SAU/1340, G/TBT/N/YEM/284")</f>
      </c>
      <c r="D1120" s="8" t="s">
        <v>3845</v>
      </c>
      <c r="E1120" s="8" t="s">
        <v>3846</v>
      </c>
      <c r="F1120" s="8" t="s">
        <v>334</v>
      </c>
      <c r="G1120" s="6" t="s">
        <v>40</v>
      </c>
      <c r="H1120" s="6" t="s">
        <v>336</v>
      </c>
      <c r="I1120" s="6" t="s">
        <v>259</v>
      </c>
      <c r="J1120" s="6" t="s">
        <v>24</v>
      </c>
      <c r="K1120" s="6"/>
      <c r="L1120" s="7">
        <v>45548</v>
      </c>
      <c r="M1120" s="6" t="s">
        <v>25</v>
      </c>
      <c r="N1120" s="8" t="s">
        <v>3847</v>
      </c>
      <c r="O1120" s="6">
        <f>HYPERLINK("https://docs.wto.org/imrd/directdoc.asp?DDFDocuments/t/G/TBTN24/ARE616.DOCX", "https://docs.wto.org/imrd/directdoc.asp?DDFDocuments/t/G/TBTN24/ARE616.DOCX")</f>
      </c>
      <c r="P1120" s="6">
        <f>HYPERLINK("https://docs.wto.org/imrd/directdoc.asp?DDFDocuments/u/G/TBTN24/ARE616.DOCX", "https://docs.wto.org/imrd/directdoc.asp?DDFDocuments/u/G/TBTN24/ARE616.DOCX")</f>
      </c>
      <c r="Q1120" s="6">
        <f>HYPERLINK("https://docs.wto.org/imrd/directdoc.asp?DDFDocuments/v/G/TBTN24/ARE616.DOCX", "https://docs.wto.org/imrd/directdoc.asp?DDFDocuments/v/G/TBTN24/ARE616.DOCX")</f>
      </c>
    </row>
    <row r="1121">
      <c r="A1121" s="6" t="s">
        <v>391</v>
      </c>
      <c r="B1121" s="7">
        <v>45488</v>
      </c>
      <c r="C1121" s="6">
        <f>HYPERLINK("https://eping.wto.org/en/Search?viewData= G/TBT/N/ARE/615, G/TBT/N/BHR/701, G/TBT/N/KWT/681, G/TBT/N/OMN/526, G/TBT/N/QAT/677, G/TBT/N/SAU/1339, G/TBT/N/YEM/283"," G/TBT/N/ARE/615, G/TBT/N/BHR/701, G/TBT/N/KWT/681, G/TBT/N/OMN/526, G/TBT/N/QAT/677, G/TBT/N/SAU/1339, G/TBT/N/YEM/283")</f>
      </c>
      <c r="D1121" s="8" t="s">
        <v>3848</v>
      </c>
      <c r="E1121" s="8" t="s">
        <v>3849</v>
      </c>
      <c r="F1121" s="8" t="s">
        <v>3850</v>
      </c>
      <c r="G1121" s="6" t="s">
        <v>3851</v>
      </c>
      <c r="H1121" s="6" t="s">
        <v>1104</v>
      </c>
      <c r="I1121" s="6" t="s">
        <v>259</v>
      </c>
      <c r="J1121" s="6" t="s">
        <v>24</v>
      </c>
      <c r="K1121" s="6"/>
      <c r="L1121" s="7">
        <v>45548</v>
      </c>
      <c r="M1121" s="6" t="s">
        <v>25</v>
      </c>
      <c r="N1121" s="8" t="s">
        <v>3852</v>
      </c>
      <c r="O1121" s="6">
        <f>HYPERLINK("https://docs.wto.org/imrd/directdoc.asp?DDFDocuments/t/G/TBTN24/ARE615.DOCX", "https://docs.wto.org/imrd/directdoc.asp?DDFDocuments/t/G/TBTN24/ARE615.DOCX")</f>
      </c>
      <c r="P1121" s="6">
        <f>HYPERLINK("https://docs.wto.org/imrd/directdoc.asp?DDFDocuments/u/G/TBTN24/ARE615.DOCX", "https://docs.wto.org/imrd/directdoc.asp?DDFDocuments/u/G/TBTN24/ARE615.DOCX")</f>
      </c>
      <c r="Q1121" s="6">
        <f>HYPERLINK("https://docs.wto.org/imrd/directdoc.asp?DDFDocuments/v/G/TBTN24/ARE615.DOCX", "https://docs.wto.org/imrd/directdoc.asp?DDFDocuments/v/G/TBTN24/ARE615.DOCX")</f>
      </c>
    </row>
    <row r="1122">
      <c r="A1122" s="6" t="s">
        <v>331</v>
      </c>
      <c r="B1122" s="7">
        <v>45488</v>
      </c>
      <c r="C1122" s="6">
        <f>HYPERLINK("https://eping.wto.org/en/Search?viewData= G/TBT/N/ARE/615, G/TBT/N/BHR/701, G/TBT/N/KWT/681, G/TBT/N/OMN/526, G/TBT/N/QAT/677, G/TBT/N/SAU/1339, G/TBT/N/YEM/283"," G/TBT/N/ARE/615, G/TBT/N/BHR/701, G/TBT/N/KWT/681, G/TBT/N/OMN/526, G/TBT/N/QAT/677, G/TBT/N/SAU/1339, G/TBT/N/YEM/283")</f>
      </c>
      <c r="D1122" s="8" t="s">
        <v>3848</v>
      </c>
      <c r="E1122" s="8" t="s">
        <v>3849</v>
      </c>
      <c r="F1122" s="8" t="s">
        <v>3850</v>
      </c>
      <c r="G1122" s="6" t="s">
        <v>3851</v>
      </c>
      <c r="H1122" s="6" t="s">
        <v>1104</v>
      </c>
      <c r="I1122" s="6" t="s">
        <v>259</v>
      </c>
      <c r="J1122" s="6" t="s">
        <v>24</v>
      </c>
      <c r="K1122" s="6"/>
      <c r="L1122" s="7">
        <v>45548</v>
      </c>
      <c r="M1122" s="6" t="s">
        <v>25</v>
      </c>
      <c r="N1122" s="8" t="s">
        <v>3852</v>
      </c>
      <c r="O1122" s="6">
        <f>HYPERLINK("https://docs.wto.org/imrd/directdoc.asp?DDFDocuments/t/G/TBTN24/ARE615.DOCX", "https://docs.wto.org/imrd/directdoc.asp?DDFDocuments/t/G/TBTN24/ARE615.DOCX")</f>
      </c>
      <c r="P1122" s="6">
        <f>HYPERLINK("https://docs.wto.org/imrd/directdoc.asp?DDFDocuments/u/G/TBTN24/ARE615.DOCX", "https://docs.wto.org/imrd/directdoc.asp?DDFDocuments/u/G/TBTN24/ARE615.DOCX")</f>
      </c>
      <c r="Q1122" s="6">
        <f>HYPERLINK("https://docs.wto.org/imrd/directdoc.asp?DDFDocuments/v/G/TBTN24/ARE615.DOCX", "https://docs.wto.org/imrd/directdoc.asp?DDFDocuments/v/G/TBTN24/ARE615.DOCX")</f>
      </c>
    </row>
    <row r="1123">
      <c r="A1123" s="6" t="s">
        <v>393</v>
      </c>
      <c r="B1123" s="7">
        <v>45488</v>
      </c>
      <c r="C1123" s="6">
        <f>HYPERLINK("https://eping.wto.org/en/Search?viewData= G/TBT/N/ARE/615, G/TBT/N/BHR/701, G/TBT/N/KWT/681, G/TBT/N/OMN/526, G/TBT/N/QAT/677, G/TBT/N/SAU/1339, G/TBT/N/YEM/283"," G/TBT/N/ARE/615, G/TBT/N/BHR/701, G/TBT/N/KWT/681, G/TBT/N/OMN/526, G/TBT/N/QAT/677, G/TBT/N/SAU/1339, G/TBT/N/YEM/283")</f>
      </c>
      <c r="D1123" s="8" t="s">
        <v>3848</v>
      </c>
      <c r="E1123" s="8" t="s">
        <v>3849</v>
      </c>
      <c r="F1123" s="8" t="s">
        <v>3850</v>
      </c>
      <c r="G1123" s="6" t="s">
        <v>3851</v>
      </c>
      <c r="H1123" s="6" t="s">
        <v>1104</v>
      </c>
      <c r="I1123" s="6" t="s">
        <v>259</v>
      </c>
      <c r="J1123" s="6" t="s">
        <v>24</v>
      </c>
      <c r="K1123" s="6"/>
      <c r="L1123" s="7">
        <v>45548</v>
      </c>
      <c r="M1123" s="6" t="s">
        <v>25</v>
      </c>
      <c r="N1123" s="8" t="s">
        <v>3852</v>
      </c>
      <c r="O1123" s="6">
        <f>HYPERLINK("https://docs.wto.org/imrd/directdoc.asp?DDFDocuments/t/G/TBTN24/ARE615.DOCX", "https://docs.wto.org/imrd/directdoc.asp?DDFDocuments/t/G/TBTN24/ARE615.DOCX")</f>
      </c>
      <c r="P1123" s="6">
        <f>HYPERLINK("https://docs.wto.org/imrd/directdoc.asp?DDFDocuments/u/G/TBTN24/ARE615.DOCX", "https://docs.wto.org/imrd/directdoc.asp?DDFDocuments/u/G/TBTN24/ARE615.DOCX")</f>
      </c>
      <c r="Q1123" s="6">
        <f>HYPERLINK("https://docs.wto.org/imrd/directdoc.asp?DDFDocuments/v/G/TBTN24/ARE615.DOCX", "https://docs.wto.org/imrd/directdoc.asp?DDFDocuments/v/G/TBTN24/ARE615.DOCX")</f>
      </c>
    </row>
    <row r="1124">
      <c r="A1124" s="6" t="s">
        <v>89</v>
      </c>
      <c r="B1124" s="7">
        <v>45485</v>
      </c>
      <c r="C1124" s="6">
        <f>HYPERLINK("https://eping.wto.org/en/Search?viewData= G/TBT/N/ECU/525/Add.1"," G/TBT/N/ECU/525/Add.1")</f>
      </c>
      <c r="D1124" s="8" t="s">
        <v>3866</v>
      </c>
      <c r="E1124" s="8" t="s">
        <v>3867</v>
      </c>
      <c r="F1124" s="8" t="s">
        <v>3868</v>
      </c>
      <c r="G1124" s="6" t="s">
        <v>40</v>
      </c>
      <c r="H1124" s="6" t="s">
        <v>1055</v>
      </c>
      <c r="I1124" s="6" t="s">
        <v>94</v>
      </c>
      <c r="J1124" s="6" t="s">
        <v>154</v>
      </c>
      <c r="K1124" s="6"/>
      <c r="L1124" s="7" t="s">
        <v>40</v>
      </c>
      <c r="M1124" s="6" t="s">
        <v>76</v>
      </c>
      <c r="N1124" s="8" t="s">
        <v>3869</v>
      </c>
      <c r="O1124" s="6">
        <f>HYPERLINK("https://docs.wto.org/imrd/directdoc.asp?DDFDocuments/t/G/TBTN24/ECU525A1.DOCX", "https://docs.wto.org/imrd/directdoc.asp?DDFDocuments/t/G/TBTN24/ECU525A1.DOCX")</f>
      </c>
      <c r="P1124" s="6">
        <f>HYPERLINK("https://docs.wto.org/imrd/directdoc.asp?DDFDocuments/u/G/TBTN24/ECU525A1.DOCX", "https://docs.wto.org/imrd/directdoc.asp?DDFDocuments/u/G/TBTN24/ECU525A1.DOCX")</f>
      </c>
      <c r="Q1124" s="6">
        <f>HYPERLINK("https://docs.wto.org/imrd/directdoc.asp?DDFDocuments/v/G/TBTN24/ECU525A1.DOCX", "https://docs.wto.org/imrd/directdoc.asp?DDFDocuments/v/G/TBTN24/ECU525A1.DOCX")</f>
      </c>
    </row>
    <row r="1125">
      <c r="A1125" s="6" t="s">
        <v>1775</v>
      </c>
      <c r="B1125" s="7">
        <v>45485</v>
      </c>
      <c r="C1125" s="6">
        <f>HYPERLINK("https://eping.wto.org/en/Search?viewData= G/TBT/N/PHL/317/Add.1"," G/TBT/N/PHL/317/Add.1")</f>
      </c>
      <c r="D1125" s="8" t="s">
        <v>3870</v>
      </c>
      <c r="E1125" s="8" t="s">
        <v>40</v>
      </c>
      <c r="F1125" s="8" t="s">
        <v>3871</v>
      </c>
      <c r="G1125" s="6" t="s">
        <v>40</v>
      </c>
      <c r="H1125" s="6" t="s">
        <v>3872</v>
      </c>
      <c r="I1125" s="6" t="s">
        <v>191</v>
      </c>
      <c r="J1125" s="6" t="s">
        <v>40</v>
      </c>
      <c r="K1125" s="6"/>
      <c r="L1125" s="7" t="s">
        <v>40</v>
      </c>
      <c r="M1125" s="6" t="s">
        <v>76</v>
      </c>
      <c r="N1125" s="8" t="s">
        <v>3873</v>
      </c>
      <c r="O1125" s="6">
        <f>HYPERLINK("https://docs.wto.org/imrd/directdoc.asp?DDFDocuments/t/G/TBTN23/PHL317A1.DOCX", "https://docs.wto.org/imrd/directdoc.asp?DDFDocuments/t/G/TBTN23/PHL317A1.DOCX")</f>
      </c>
      <c r="P1125" s="6">
        <f>HYPERLINK("https://docs.wto.org/imrd/directdoc.asp?DDFDocuments/u/G/TBTN23/PHL317A1.DOCX", "https://docs.wto.org/imrd/directdoc.asp?DDFDocuments/u/G/TBTN23/PHL317A1.DOCX")</f>
      </c>
      <c r="Q1125" s="6">
        <f>HYPERLINK("https://docs.wto.org/imrd/directdoc.asp?DDFDocuments/v/G/TBTN23/PHL317A1.DOCX", "https://docs.wto.org/imrd/directdoc.asp?DDFDocuments/v/G/TBTN23/PHL317A1.DOCX")</f>
      </c>
    </row>
    <row r="1126">
      <c r="A1126" s="6" t="s">
        <v>1775</v>
      </c>
      <c r="B1126" s="7">
        <v>45485</v>
      </c>
      <c r="C1126" s="6">
        <f>HYPERLINK("https://eping.wto.org/en/Search?viewData= G/TBT/N/PHL/248/Rev.1/Add.1"," G/TBT/N/PHL/248/Rev.1/Add.1")</f>
      </c>
      <c r="D1126" s="8" t="s">
        <v>3874</v>
      </c>
      <c r="E1126" s="8" t="s">
        <v>40</v>
      </c>
      <c r="F1126" s="8" t="s">
        <v>3875</v>
      </c>
      <c r="G1126" s="6" t="s">
        <v>3876</v>
      </c>
      <c r="H1126" s="6" t="s">
        <v>3872</v>
      </c>
      <c r="I1126" s="6" t="s">
        <v>337</v>
      </c>
      <c r="J1126" s="6" t="s">
        <v>148</v>
      </c>
      <c r="K1126" s="6"/>
      <c r="L1126" s="7" t="s">
        <v>40</v>
      </c>
      <c r="M1126" s="6" t="s">
        <v>76</v>
      </c>
      <c r="N1126" s="8" t="s">
        <v>3877</v>
      </c>
      <c r="O1126" s="6">
        <f>HYPERLINK("https://docs.wto.org/imrd/directdoc.asp?DDFDocuments/t/G/TBTN23/PHL248R1A1.DOCX", "https://docs.wto.org/imrd/directdoc.asp?DDFDocuments/t/G/TBTN23/PHL248R1A1.DOCX")</f>
      </c>
      <c r="P1126" s="6">
        <f>HYPERLINK("https://docs.wto.org/imrd/directdoc.asp?DDFDocuments/u/G/TBTN23/PHL248R1A1.DOCX", "https://docs.wto.org/imrd/directdoc.asp?DDFDocuments/u/G/TBTN23/PHL248R1A1.DOCX")</f>
      </c>
      <c r="Q1126" s="6">
        <f>HYPERLINK("https://docs.wto.org/imrd/directdoc.asp?DDFDocuments/v/G/TBTN23/PHL248R1A1.DOCX", "https://docs.wto.org/imrd/directdoc.asp?DDFDocuments/v/G/TBTN23/PHL248R1A1.DOCX")</f>
      </c>
    </row>
    <row r="1127">
      <c r="A1127" s="6" t="s">
        <v>1775</v>
      </c>
      <c r="B1127" s="7">
        <v>45485</v>
      </c>
      <c r="C1127" s="6">
        <f>HYPERLINK("https://eping.wto.org/en/Search?viewData= G/TBT/N/PHL/315/Add.1"," G/TBT/N/PHL/315/Add.1")</f>
      </c>
      <c r="D1127" s="8" t="s">
        <v>3878</v>
      </c>
      <c r="E1127" s="8" t="s">
        <v>40</v>
      </c>
      <c r="F1127" s="8" t="s">
        <v>3230</v>
      </c>
      <c r="G1127" s="6" t="s">
        <v>40</v>
      </c>
      <c r="H1127" s="6" t="s">
        <v>3879</v>
      </c>
      <c r="I1127" s="6" t="s">
        <v>191</v>
      </c>
      <c r="J1127" s="6" t="s">
        <v>40</v>
      </c>
      <c r="K1127" s="6"/>
      <c r="L1127" s="7" t="s">
        <v>40</v>
      </c>
      <c r="M1127" s="6" t="s">
        <v>76</v>
      </c>
      <c r="N1127" s="8" t="s">
        <v>3880</v>
      </c>
      <c r="O1127" s="6">
        <f>HYPERLINK("https://docs.wto.org/imrd/directdoc.asp?DDFDocuments/t/G/TBTN23/PHL315A1.DOCX", "https://docs.wto.org/imrd/directdoc.asp?DDFDocuments/t/G/TBTN23/PHL315A1.DOCX")</f>
      </c>
      <c r="P1127" s="6">
        <f>HYPERLINK("https://docs.wto.org/imrd/directdoc.asp?DDFDocuments/u/G/TBTN23/PHL315A1.DOCX", "https://docs.wto.org/imrd/directdoc.asp?DDFDocuments/u/G/TBTN23/PHL315A1.DOCX")</f>
      </c>
      <c r="Q1127" s="6">
        <f>HYPERLINK("https://docs.wto.org/imrd/directdoc.asp?DDFDocuments/v/G/TBTN23/PHL315A1.DOCX", "https://docs.wto.org/imrd/directdoc.asp?DDFDocuments/v/G/TBTN23/PHL315A1.DOCX")</f>
      </c>
    </row>
    <row r="1128">
      <c r="A1128" s="6" t="s">
        <v>348</v>
      </c>
      <c r="B1128" s="7">
        <v>45485</v>
      </c>
      <c r="C1128" s="6">
        <f>HYPERLINK("https://eping.wto.org/en/Search?viewData= G/TBT/N/RUS/163"," G/TBT/N/RUS/163")</f>
      </c>
      <c r="D1128" s="8" t="s">
        <v>3881</v>
      </c>
      <c r="E1128" s="8" t="s">
        <v>3882</v>
      </c>
      <c r="F1128" s="8" t="s">
        <v>3883</v>
      </c>
      <c r="G1128" s="6" t="s">
        <v>40</v>
      </c>
      <c r="H1128" s="6" t="s">
        <v>93</v>
      </c>
      <c r="I1128" s="6" t="s">
        <v>142</v>
      </c>
      <c r="J1128" s="6" t="s">
        <v>95</v>
      </c>
      <c r="K1128" s="6"/>
      <c r="L1128" s="7">
        <v>45507</v>
      </c>
      <c r="M1128" s="6" t="s">
        <v>25</v>
      </c>
      <c r="N1128" s="6"/>
      <c r="O1128" s="6">
        <f>HYPERLINK("https://docs.wto.org/imrd/directdoc.asp?DDFDocuments/t/G/TBTN24/RUS163.DOCX", "https://docs.wto.org/imrd/directdoc.asp?DDFDocuments/t/G/TBTN24/RUS163.DOCX")</f>
      </c>
      <c r="P1128" s="6">
        <f>HYPERLINK("https://docs.wto.org/imrd/directdoc.asp?DDFDocuments/u/G/TBTN24/RUS163.DOCX", "https://docs.wto.org/imrd/directdoc.asp?DDFDocuments/u/G/TBTN24/RUS163.DOCX")</f>
      </c>
      <c r="Q1128" s="6">
        <f>HYPERLINK("https://docs.wto.org/imrd/directdoc.asp?DDFDocuments/v/G/TBTN24/RUS163.DOCX", "https://docs.wto.org/imrd/directdoc.asp?DDFDocuments/v/G/TBTN24/RUS163.DOCX")</f>
      </c>
    </row>
    <row r="1129">
      <c r="A1129" s="6" t="s">
        <v>115</v>
      </c>
      <c r="B1129" s="7">
        <v>45485</v>
      </c>
      <c r="C1129" s="6">
        <f>HYPERLINK("https://eping.wto.org/en/Search?viewData= G/TBT/N/BRA/1077/Add.10"," G/TBT/N/BRA/1077/Add.10")</f>
      </c>
      <c r="D1129" s="8" t="s">
        <v>3884</v>
      </c>
      <c r="E1129" s="8" t="s">
        <v>3885</v>
      </c>
      <c r="F1129" s="8" t="s">
        <v>3886</v>
      </c>
      <c r="G1129" s="6" t="s">
        <v>40</v>
      </c>
      <c r="H1129" s="6" t="s">
        <v>40</v>
      </c>
      <c r="I1129" s="6" t="s">
        <v>142</v>
      </c>
      <c r="J1129" s="6" t="s">
        <v>40</v>
      </c>
      <c r="K1129" s="6"/>
      <c r="L1129" s="7" t="s">
        <v>40</v>
      </c>
      <c r="M1129" s="6" t="s">
        <v>76</v>
      </c>
      <c r="N1129" s="8" t="s">
        <v>3887</v>
      </c>
      <c r="O1129" s="6">
        <f>HYPERLINK("https://docs.wto.org/imrd/directdoc.asp?DDFDocuments/t/G/TBTN20/BRA1077A10.DOCX", "https://docs.wto.org/imrd/directdoc.asp?DDFDocuments/t/G/TBTN20/BRA1077A10.DOCX")</f>
      </c>
      <c r="P1129" s="6">
        <f>HYPERLINK("https://docs.wto.org/imrd/directdoc.asp?DDFDocuments/u/G/TBTN20/BRA1077A10.DOCX", "https://docs.wto.org/imrd/directdoc.asp?DDFDocuments/u/G/TBTN20/BRA1077A10.DOCX")</f>
      </c>
      <c r="Q1129" s="6">
        <f>HYPERLINK("https://docs.wto.org/imrd/directdoc.asp?DDFDocuments/v/G/TBTN20/BRA1077A10.DOCX", "https://docs.wto.org/imrd/directdoc.asp?DDFDocuments/v/G/TBTN20/BRA1077A10.DOCX")</f>
      </c>
    </row>
    <row r="1130">
      <c r="A1130" s="6" t="s">
        <v>115</v>
      </c>
      <c r="B1130" s="7">
        <v>45485</v>
      </c>
      <c r="C1130" s="6">
        <f>HYPERLINK("https://eping.wto.org/en/Search?viewData= G/TBT/N/BRA/1526/Add.1"," G/TBT/N/BRA/1526/Add.1")</f>
      </c>
      <c r="D1130" s="8" t="s">
        <v>3888</v>
      </c>
      <c r="E1130" s="8" t="s">
        <v>3889</v>
      </c>
      <c r="F1130" s="8" t="s">
        <v>890</v>
      </c>
      <c r="G1130" s="6" t="s">
        <v>891</v>
      </c>
      <c r="H1130" s="6" t="s">
        <v>892</v>
      </c>
      <c r="I1130" s="6" t="s">
        <v>142</v>
      </c>
      <c r="J1130" s="6" t="s">
        <v>40</v>
      </c>
      <c r="K1130" s="6"/>
      <c r="L1130" s="7" t="s">
        <v>40</v>
      </c>
      <c r="M1130" s="6" t="s">
        <v>76</v>
      </c>
      <c r="N1130" s="8" t="s">
        <v>3890</v>
      </c>
      <c r="O1130" s="6">
        <f>HYPERLINK("https://docs.wto.org/imrd/directdoc.asp?DDFDocuments/t/G/TBTN24/BRA1526A1.DOCX", "https://docs.wto.org/imrd/directdoc.asp?DDFDocuments/t/G/TBTN24/BRA1526A1.DOCX")</f>
      </c>
      <c r="P1130" s="6">
        <f>HYPERLINK("https://docs.wto.org/imrd/directdoc.asp?DDFDocuments/u/G/TBTN24/BRA1526A1.DOCX", "https://docs.wto.org/imrd/directdoc.asp?DDFDocuments/u/G/TBTN24/BRA1526A1.DOCX")</f>
      </c>
      <c r="Q1130" s="6">
        <f>HYPERLINK("https://docs.wto.org/imrd/directdoc.asp?DDFDocuments/v/G/TBTN24/BRA1526A1.DOCX", "https://docs.wto.org/imrd/directdoc.asp?DDFDocuments/v/G/TBTN24/BRA1526A1.DOCX")</f>
      </c>
    </row>
    <row r="1131">
      <c r="A1131" s="6" t="s">
        <v>70</v>
      </c>
      <c r="B1131" s="7">
        <v>45485</v>
      </c>
      <c r="C1131" s="6">
        <f>HYPERLINK("https://eping.wto.org/en/Search?viewData= G/SPS/N/UKR/224"," G/SPS/N/UKR/224")</f>
      </c>
      <c r="D1131" s="8" t="s">
        <v>3891</v>
      </c>
      <c r="E1131" s="8" t="s">
        <v>3892</v>
      </c>
      <c r="F1131" s="8" t="s">
        <v>2641</v>
      </c>
      <c r="G1131" s="6" t="s">
        <v>40</v>
      </c>
      <c r="H1131" s="6" t="s">
        <v>40</v>
      </c>
      <c r="I1131" s="6" t="s">
        <v>38</v>
      </c>
      <c r="J1131" s="6" t="s">
        <v>60</v>
      </c>
      <c r="K1131" s="6" t="s">
        <v>40</v>
      </c>
      <c r="L1131" s="7">
        <v>45545</v>
      </c>
      <c r="M1131" s="6" t="s">
        <v>25</v>
      </c>
      <c r="N1131" s="8" t="s">
        <v>3893</v>
      </c>
      <c r="O1131" s="6">
        <f>HYPERLINK("https://docs.wto.org/imrd/directdoc.asp?DDFDocuments/t/G/SPS/NUKR224.DOCX", "https://docs.wto.org/imrd/directdoc.asp?DDFDocuments/t/G/SPS/NUKR224.DOCX")</f>
      </c>
      <c r="P1131" s="6">
        <f>HYPERLINK("https://docs.wto.org/imrd/directdoc.asp?DDFDocuments/u/G/SPS/NUKR224.DOCX", "https://docs.wto.org/imrd/directdoc.asp?DDFDocuments/u/G/SPS/NUKR224.DOCX")</f>
      </c>
      <c r="Q1131" s="6">
        <f>HYPERLINK("https://docs.wto.org/imrd/directdoc.asp?DDFDocuments/v/G/SPS/NUKR224.DOCX", "https://docs.wto.org/imrd/directdoc.asp?DDFDocuments/v/G/SPS/NUKR224.DOCX")</f>
      </c>
    </row>
    <row r="1132">
      <c r="A1132" s="6" t="s">
        <v>2893</v>
      </c>
      <c r="B1132" s="7">
        <v>45485</v>
      </c>
      <c r="C1132" s="6">
        <f>HYPERLINK("https://eping.wto.org/en/Search?viewData= G/SPS/N/JOR/44/Add.1"," G/SPS/N/JOR/44/Add.1")</f>
      </c>
      <c r="D1132" s="8" t="s">
        <v>3894</v>
      </c>
      <c r="E1132" s="8" t="s">
        <v>3895</v>
      </c>
      <c r="F1132" s="8" t="s">
        <v>3896</v>
      </c>
      <c r="G1132" s="6" t="s">
        <v>3897</v>
      </c>
      <c r="H1132" s="6" t="s">
        <v>40</v>
      </c>
      <c r="I1132" s="6" t="s">
        <v>38</v>
      </c>
      <c r="J1132" s="6" t="s">
        <v>3898</v>
      </c>
      <c r="K1132" s="6"/>
      <c r="L1132" s="7" t="s">
        <v>40</v>
      </c>
      <c r="M1132" s="6" t="s">
        <v>76</v>
      </c>
      <c r="N1132" s="6"/>
      <c r="O1132" s="6">
        <f>HYPERLINK("https://docs.wto.org/imrd/directdoc.asp?DDFDocuments/t/G/SPS/NJOR44A1.DOCX", "https://docs.wto.org/imrd/directdoc.asp?DDFDocuments/t/G/SPS/NJOR44A1.DOCX")</f>
      </c>
      <c r="P1132" s="6">
        <f>HYPERLINK("https://docs.wto.org/imrd/directdoc.asp?DDFDocuments/u/G/SPS/NJOR44A1.DOCX", "https://docs.wto.org/imrd/directdoc.asp?DDFDocuments/u/G/SPS/NJOR44A1.DOCX")</f>
      </c>
      <c r="Q1132" s="6">
        <f>HYPERLINK("https://docs.wto.org/imrd/directdoc.asp?DDFDocuments/v/G/SPS/NJOR44A1.DOCX", "https://docs.wto.org/imrd/directdoc.asp?DDFDocuments/v/G/SPS/NJOR44A1.DOCX")</f>
      </c>
    </row>
    <row r="1133">
      <c r="A1133" s="6" t="s">
        <v>1775</v>
      </c>
      <c r="B1133" s="7">
        <v>45485</v>
      </c>
      <c r="C1133" s="6">
        <f>HYPERLINK("https://eping.wto.org/en/Search?viewData= G/TBT/N/PHL/314/Add.1"," G/TBT/N/PHL/314/Add.1")</f>
      </c>
      <c r="D1133" s="8" t="s">
        <v>3899</v>
      </c>
      <c r="E1133" s="8" t="s">
        <v>40</v>
      </c>
      <c r="F1133" s="8" t="s">
        <v>3871</v>
      </c>
      <c r="G1133" s="6" t="s">
        <v>40</v>
      </c>
      <c r="H1133" s="6" t="s">
        <v>3872</v>
      </c>
      <c r="I1133" s="6" t="s">
        <v>191</v>
      </c>
      <c r="J1133" s="6" t="s">
        <v>148</v>
      </c>
      <c r="K1133" s="6"/>
      <c r="L1133" s="7" t="s">
        <v>40</v>
      </c>
      <c r="M1133" s="6" t="s">
        <v>76</v>
      </c>
      <c r="N1133" s="8" t="s">
        <v>3900</v>
      </c>
      <c r="O1133" s="6">
        <f>HYPERLINK("https://docs.wto.org/imrd/directdoc.asp?DDFDocuments/t/G/TBTN23/PHL314A1.DOCX", "https://docs.wto.org/imrd/directdoc.asp?DDFDocuments/t/G/TBTN23/PHL314A1.DOCX")</f>
      </c>
      <c r="P1133" s="6">
        <f>HYPERLINK("https://docs.wto.org/imrd/directdoc.asp?DDFDocuments/u/G/TBTN23/PHL314A1.DOCX", "https://docs.wto.org/imrd/directdoc.asp?DDFDocuments/u/G/TBTN23/PHL314A1.DOCX")</f>
      </c>
      <c r="Q1133" s="6">
        <f>HYPERLINK("https://docs.wto.org/imrd/directdoc.asp?DDFDocuments/v/G/TBTN23/PHL314A1.DOCX", "https://docs.wto.org/imrd/directdoc.asp?DDFDocuments/v/G/TBTN23/PHL314A1.DOCX")</f>
      </c>
    </row>
    <row r="1134">
      <c r="A1134" s="6" t="s">
        <v>160</v>
      </c>
      <c r="B1134" s="7">
        <v>45485</v>
      </c>
      <c r="C1134" s="6">
        <f>HYPERLINK("https://eping.wto.org/en/Search?viewData= G/TBT/N/USA/2131"," G/TBT/N/USA/2131")</f>
      </c>
      <c r="D1134" s="8" t="s">
        <v>3901</v>
      </c>
      <c r="E1134" s="8" t="s">
        <v>3902</v>
      </c>
      <c r="F1134" s="8" t="s">
        <v>3903</v>
      </c>
      <c r="G1134" s="6" t="s">
        <v>40</v>
      </c>
      <c r="H1134" s="6" t="s">
        <v>3904</v>
      </c>
      <c r="I1134" s="6" t="s">
        <v>1829</v>
      </c>
      <c r="J1134" s="6" t="s">
        <v>40</v>
      </c>
      <c r="K1134" s="6"/>
      <c r="L1134" s="7">
        <v>45544</v>
      </c>
      <c r="M1134" s="6" t="s">
        <v>25</v>
      </c>
      <c r="N1134" s="8" t="s">
        <v>3905</v>
      </c>
      <c r="O1134" s="6">
        <f>HYPERLINK("https://docs.wto.org/imrd/directdoc.asp?DDFDocuments/t/G/TBTN24/USA2131.DOCX", "https://docs.wto.org/imrd/directdoc.asp?DDFDocuments/t/G/TBTN24/USA2131.DOCX")</f>
      </c>
      <c r="P1134" s="6">
        <f>HYPERLINK("https://docs.wto.org/imrd/directdoc.asp?DDFDocuments/u/G/TBTN24/USA2131.DOCX", "https://docs.wto.org/imrd/directdoc.asp?DDFDocuments/u/G/TBTN24/USA2131.DOCX")</f>
      </c>
      <c r="Q1134" s="6">
        <f>HYPERLINK("https://docs.wto.org/imrd/directdoc.asp?DDFDocuments/v/G/TBTN24/USA2131.DOCX", "https://docs.wto.org/imrd/directdoc.asp?DDFDocuments/v/G/TBTN24/USA2131.DOCX")</f>
      </c>
    </row>
    <row r="1135">
      <c r="A1135" s="6" t="s">
        <v>1775</v>
      </c>
      <c r="B1135" s="7">
        <v>45485</v>
      </c>
      <c r="C1135" s="6">
        <f>HYPERLINK("https://eping.wto.org/en/Search?viewData= G/TBT/N/PHL/312/Add.1"," G/TBT/N/PHL/312/Add.1")</f>
      </c>
      <c r="D1135" s="8" t="s">
        <v>3906</v>
      </c>
      <c r="E1135" s="8" t="s">
        <v>40</v>
      </c>
      <c r="F1135" s="8" t="s">
        <v>3907</v>
      </c>
      <c r="G1135" s="6" t="s">
        <v>40</v>
      </c>
      <c r="H1135" s="6" t="s">
        <v>3908</v>
      </c>
      <c r="I1135" s="6" t="s">
        <v>191</v>
      </c>
      <c r="J1135" s="6" t="s">
        <v>148</v>
      </c>
      <c r="K1135" s="6"/>
      <c r="L1135" s="7" t="s">
        <v>40</v>
      </c>
      <c r="M1135" s="6" t="s">
        <v>76</v>
      </c>
      <c r="N1135" s="8" t="s">
        <v>3909</v>
      </c>
      <c r="O1135" s="6">
        <f>HYPERLINK("https://docs.wto.org/imrd/directdoc.asp?DDFDocuments/t/G/TBTN23/PHL312A1.DOCX", "https://docs.wto.org/imrd/directdoc.asp?DDFDocuments/t/G/TBTN23/PHL312A1.DOCX")</f>
      </c>
      <c r="P1135" s="6">
        <f>HYPERLINK("https://docs.wto.org/imrd/directdoc.asp?DDFDocuments/u/G/TBTN23/PHL312A1.DOCX", "https://docs.wto.org/imrd/directdoc.asp?DDFDocuments/u/G/TBTN23/PHL312A1.DOCX")</f>
      </c>
      <c r="Q1135" s="6">
        <f>HYPERLINK("https://docs.wto.org/imrd/directdoc.asp?DDFDocuments/v/G/TBTN23/PHL312A1.DOCX", "https://docs.wto.org/imrd/directdoc.asp?DDFDocuments/v/G/TBTN23/PHL312A1.DOCX")</f>
      </c>
    </row>
    <row r="1136">
      <c r="A1136" s="6" t="s">
        <v>1688</v>
      </c>
      <c r="B1136" s="7">
        <v>45485</v>
      </c>
      <c r="C1136" s="6">
        <f>HYPERLINK("https://eping.wto.org/en/Search?viewData= G/TBT/N/THA/717/Add.1"," G/TBT/N/THA/717/Add.1")</f>
      </c>
      <c r="D1136" s="8" t="s">
        <v>3910</v>
      </c>
      <c r="E1136" s="8" t="s">
        <v>3911</v>
      </c>
      <c r="F1136" s="8" t="s">
        <v>3912</v>
      </c>
      <c r="G1136" s="6" t="s">
        <v>40</v>
      </c>
      <c r="H1136" s="6" t="s">
        <v>3913</v>
      </c>
      <c r="I1136" s="6" t="s">
        <v>147</v>
      </c>
      <c r="J1136" s="6" t="s">
        <v>40</v>
      </c>
      <c r="K1136" s="6"/>
      <c r="L1136" s="7" t="s">
        <v>40</v>
      </c>
      <c r="M1136" s="6" t="s">
        <v>76</v>
      </c>
      <c r="N1136" s="8" t="s">
        <v>3914</v>
      </c>
      <c r="O1136" s="6">
        <f>HYPERLINK("https://docs.wto.org/imrd/directdoc.asp?DDFDocuments/t/G/TBTN23/THA717A1.DOCX", "https://docs.wto.org/imrd/directdoc.asp?DDFDocuments/t/G/TBTN23/THA717A1.DOCX")</f>
      </c>
      <c r="P1136" s="6">
        <f>HYPERLINK("https://docs.wto.org/imrd/directdoc.asp?DDFDocuments/u/G/TBTN23/THA717A1.DOCX", "https://docs.wto.org/imrd/directdoc.asp?DDFDocuments/u/G/TBTN23/THA717A1.DOCX")</f>
      </c>
      <c r="Q1136" s="6">
        <f>HYPERLINK("https://docs.wto.org/imrd/directdoc.asp?DDFDocuments/v/G/TBTN23/THA717A1.DOCX", "https://docs.wto.org/imrd/directdoc.asp?DDFDocuments/v/G/TBTN23/THA717A1.DOCX")</f>
      </c>
    </row>
    <row r="1137">
      <c r="A1137" s="6" t="s">
        <v>1775</v>
      </c>
      <c r="B1137" s="7">
        <v>45485</v>
      </c>
      <c r="C1137" s="6">
        <f>HYPERLINK("https://eping.wto.org/en/Search?viewData= G/TBT/N/PHL/318/Add.1"," G/TBT/N/PHL/318/Add.1")</f>
      </c>
      <c r="D1137" s="8" t="s">
        <v>3915</v>
      </c>
      <c r="E1137" s="8" t="s">
        <v>40</v>
      </c>
      <c r="F1137" s="8" t="s">
        <v>3871</v>
      </c>
      <c r="G1137" s="6" t="s">
        <v>40</v>
      </c>
      <c r="H1137" s="6" t="s">
        <v>3872</v>
      </c>
      <c r="I1137" s="6" t="s">
        <v>191</v>
      </c>
      <c r="J1137" s="6" t="s">
        <v>148</v>
      </c>
      <c r="K1137" s="6"/>
      <c r="L1137" s="7" t="s">
        <v>40</v>
      </c>
      <c r="M1137" s="6" t="s">
        <v>76</v>
      </c>
      <c r="N1137" s="8" t="s">
        <v>3916</v>
      </c>
      <c r="O1137" s="6">
        <f>HYPERLINK("https://docs.wto.org/imrd/directdoc.asp?DDFDocuments/t/G/TBTN23/PHL238A1.DOCX", "https://docs.wto.org/imrd/directdoc.asp?DDFDocuments/t/G/TBTN23/PHL238A1.DOCX")</f>
      </c>
      <c r="P1137" s="6">
        <f>HYPERLINK("https://docs.wto.org/imrd/directdoc.asp?DDFDocuments/u/G/TBTN23/PHL238A1.DOCX", "https://docs.wto.org/imrd/directdoc.asp?DDFDocuments/u/G/TBTN23/PHL238A1.DOCX")</f>
      </c>
      <c r="Q1137" s="6">
        <f>HYPERLINK("https://docs.wto.org/imrd/directdoc.asp?DDFDocuments/v/G/TBTN23/PHL238A1.DOCX", "https://docs.wto.org/imrd/directdoc.asp?DDFDocuments/v/G/TBTN23/PHL238A1.DOCX")</f>
      </c>
    </row>
    <row r="1138">
      <c r="A1138" s="6" t="s">
        <v>1775</v>
      </c>
      <c r="B1138" s="7">
        <v>45485</v>
      </c>
      <c r="C1138" s="6">
        <f>HYPERLINK("https://eping.wto.org/en/Search?viewData= G/TBT/N/PHL/316/Add.1"," G/TBT/N/PHL/316/Add.1")</f>
      </c>
      <c r="D1138" s="8" t="s">
        <v>3917</v>
      </c>
      <c r="E1138" s="8" t="s">
        <v>40</v>
      </c>
      <c r="F1138" s="8" t="s">
        <v>3918</v>
      </c>
      <c r="G1138" s="6" t="s">
        <v>40</v>
      </c>
      <c r="H1138" s="6" t="s">
        <v>3919</v>
      </c>
      <c r="I1138" s="6" t="s">
        <v>191</v>
      </c>
      <c r="J1138" s="6" t="s">
        <v>40</v>
      </c>
      <c r="K1138" s="6"/>
      <c r="L1138" s="7" t="s">
        <v>40</v>
      </c>
      <c r="M1138" s="6" t="s">
        <v>76</v>
      </c>
      <c r="N1138" s="8" t="s">
        <v>3920</v>
      </c>
      <c r="O1138" s="6">
        <f>HYPERLINK("https://docs.wto.org/imrd/directdoc.asp?DDFDocuments/t/G/TBTN23/PHL316A1.DOCX", "https://docs.wto.org/imrd/directdoc.asp?DDFDocuments/t/G/TBTN23/PHL316A1.DOCX")</f>
      </c>
      <c r="P1138" s="6">
        <f>HYPERLINK("https://docs.wto.org/imrd/directdoc.asp?DDFDocuments/u/G/TBTN23/PHL316A1.DOCX", "https://docs.wto.org/imrd/directdoc.asp?DDFDocuments/u/G/TBTN23/PHL316A1.DOCX")</f>
      </c>
      <c r="Q1138" s="6">
        <f>HYPERLINK("https://docs.wto.org/imrd/directdoc.asp?DDFDocuments/v/G/TBTN23/PHL316A1.DOCX", "https://docs.wto.org/imrd/directdoc.asp?DDFDocuments/v/G/TBTN23/PHL316A1.DOCX")</f>
      </c>
    </row>
    <row r="1139">
      <c r="A1139" s="6" t="s">
        <v>348</v>
      </c>
      <c r="B1139" s="7">
        <v>45485</v>
      </c>
      <c r="C1139" s="6">
        <f>HYPERLINK("https://eping.wto.org/en/Search?viewData= G/TBT/N/RUS/164"," G/TBT/N/RUS/164")</f>
      </c>
      <c r="D1139" s="8" t="s">
        <v>3921</v>
      </c>
      <c r="E1139" s="8" t="s">
        <v>3922</v>
      </c>
      <c r="F1139" s="8" t="s">
        <v>3883</v>
      </c>
      <c r="G1139" s="6" t="s">
        <v>40</v>
      </c>
      <c r="H1139" s="6" t="s">
        <v>93</v>
      </c>
      <c r="I1139" s="6" t="s">
        <v>142</v>
      </c>
      <c r="J1139" s="6" t="s">
        <v>95</v>
      </c>
      <c r="K1139" s="6"/>
      <c r="L1139" s="7">
        <v>45511</v>
      </c>
      <c r="M1139" s="6" t="s">
        <v>25</v>
      </c>
      <c r="N1139" s="6"/>
      <c r="O1139" s="6">
        <f>HYPERLINK("https://docs.wto.org/imrd/directdoc.asp?DDFDocuments/t/G/TBTN24/RUS164.DOCX", "https://docs.wto.org/imrd/directdoc.asp?DDFDocuments/t/G/TBTN24/RUS164.DOCX")</f>
      </c>
      <c r="P1139" s="6">
        <f>HYPERLINK("https://docs.wto.org/imrd/directdoc.asp?DDFDocuments/u/G/TBTN24/RUS164.DOCX", "https://docs.wto.org/imrd/directdoc.asp?DDFDocuments/u/G/TBTN24/RUS164.DOCX")</f>
      </c>
      <c r="Q1139" s="6">
        <f>HYPERLINK("https://docs.wto.org/imrd/directdoc.asp?DDFDocuments/v/G/TBTN24/RUS164.DOCX", "https://docs.wto.org/imrd/directdoc.asp?DDFDocuments/v/G/TBTN24/RUS164.DOCX")</f>
      </c>
    </row>
    <row r="1140">
      <c r="A1140" s="6" t="s">
        <v>1775</v>
      </c>
      <c r="B1140" s="7">
        <v>45485</v>
      </c>
      <c r="C1140" s="6">
        <f>HYPERLINK("https://eping.wto.org/en/Search?viewData= G/TBT/N/PHL/313/Add.1"," G/TBT/N/PHL/313/Add.1")</f>
      </c>
      <c r="D1140" s="8" t="s">
        <v>3923</v>
      </c>
      <c r="E1140" s="8" t="s">
        <v>40</v>
      </c>
      <c r="F1140" s="8" t="s">
        <v>3924</v>
      </c>
      <c r="G1140" s="6" t="s">
        <v>40</v>
      </c>
      <c r="H1140" s="6" t="s">
        <v>3249</v>
      </c>
      <c r="I1140" s="6" t="s">
        <v>191</v>
      </c>
      <c r="J1140" s="6" t="s">
        <v>148</v>
      </c>
      <c r="K1140" s="6"/>
      <c r="L1140" s="7" t="s">
        <v>40</v>
      </c>
      <c r="M1140" s="6" t="s">
        <v>76</v>
      </c>
      <c r="N1140" s="8" t="s">
        <v>3925</v>
      </c>
      <c r="O1140" s="6">
        <f>HYPERLINK("https://docs.wto.org/imrd/directdoc.asp?DDFDocuments/t/G/TBTN23/PHL313A1.DOCX", "https://docs.wto.org/imrd/directdoc.asp?DDFDocuments/t/G/TBTN23/PHL313A1.DOCX")</f>
      </c>
      <c r="P1140" s="6">
        <f>HYPERLINK("https://docs.wto.org/imrd/directdoc.asp?DDFDocuments/u/G/TBTN23/PHL313A1.DOCX", "https://docs.wto.org/imrd/directdoc.asp?DDFDocuments/u/G/TBTN23/PHL313A1.DOCX")</f>
      </c>
      <c r="Q1140" s="6">
        <f>HYPERLINK("https://docs.wto.org/imrd/directdoc.asp?DDFDocuments/v/G/TBTN23/PHL313A1.DOCX", "https://docs.wto.org/imrd/directdoc.asp?DDFDocuments/v/G/TBTN23/PHL313A1.DOCX")</f>
      </c>
    </row>
    <row r="1141">
      <c r="A1141" s="6" t="s">
        <v>115</v>
      </c>
      <c r="B1141" s="7">
        <v>45485</v>
      </c>
      <c r="C1141" s="6">
        <f>HYPERLINK("https://eping.wto.org/en/Search?viewData= G/TBT/N/BRA/474/Add.8"," G/TBT/N/BRA/474/Add.8")</f>
      </c>
      <c r="D1141" s="8" t="s">
        <v>3926</v>
      </c>
      <c r="E1141" s="8" t="s">
        <v>3927</v>
      </c>
      <c r="F1141" s="8" t="s">
        <v>3928</v>
      </c>
      <c r="G1141" s="6" t="s">
        <v>3929</v>
      </c>
      <c r="H1141" s="6" t="s">
        <v>296</v>
      </c>
      <c r="I1141" s="6" t="s">
        <v>147</v>
      </c>
      <c r="J1141" s="6" t="s">
        <v>40</v>
      </c>
      <c r="K1141" s="6"/>
      <c r="L1141" s="7">
        <v>45543</v>
      </c>
      <c r="M1141" s="6" t="s">
        <v>76</v>
      </c>
      <c r="N1141" s="8" t="s">
        <v>3930</v>
      </c>
      <c r="O1141" s="6">
        <f>HYPERLINK("https://docs.wto.org/imrd/directdoc.asp?DDFDocuments/t/G/TBTN12/BRA474A8.DOCX", "https://docs.wto.org/imrd/directdoc.asp?DDFDocuments/t/G/TBTN12/BRA474A8.DOCX")</f>
      </c>
      <c r="P1141" s="6">
        <f>HYPERLINK("https://docs.wto.org/imrd/directdoc.asp?DDFDocuments/u/G/TBTN12/BRA474A8.DOCX", "https://docs.wto.org/imrd/directdoc.asp?DDFDocuments/u/G/TBTN12/BRA474A8.DOCX")</f>
      </c>
      <c r="Q1141" s="6">
        <f>HYPERLINK("https://docs.wto.org/imrd/directdoc.asp?DDFDocuments/v/G/TBTN12/BRA474A8.DOCX", "https://docs.wto.org/imrd/directdoc.asp?DDFDocuments/v/G/TBTN12/BRA474A8.DOCX")</f>
      </c>
    </row>
    <row r="1142">
      <c r="A1142" s="6" t="s">
        <v>419</v>
      </c>
      <c r="B1142" s="7">
        <v>45485</v>
      </c>
      <c r="C1142" s="6">
        <f>HYPERLINK("https://eping.wto.org/en/Search?viewData= G/TBT/N/JPN/790/Add.1"," G/TBT/N/JPN/790/Add.1")</f>
      </c>
      <c r="D1142" s="8" t="s">
        <v>3931</v>
      </c>
      <c r="E1142" s="8" t="s">
        <v>3932</v>
      </c>
      <c r="F1142" s="8" t="s">
        <v>3933</v>
      </c>
      <c r="G1142" s="6" t="s">
        <v>40</v>
      </c>
      <c r="H1142" s="6" t="s">
        <v>3934</v>
      </c>
      <c r="I1142" s="6" t="s">
        <v>259</v>
      </c>
      <c r="J1142" s="6" t="s">
        <v>40</v>
      </c>
      <c r="K1142" s="6"/>
      <c r="L1142" s="7" t="s">
        <v>40</v>
      </c>
      <c r="M1142" s="6" t="s">
        <v>76</v>
      </c>
      <c r="N1142" s="8" t="s">
        <v>3935</v>
      </c>
      <c r="O1142" s="6">
        <f>HYPERLINK("https://docs.wto.org/imrd/directdoc.asp?DDFDocuments/t/G/TBTN23/JPN790A1.DOCX", "https://docs.wto.org/imrd/directdoc.asp?DDFDocuments/t/G/TBTN23/JPN790A1.DOCX")</f>
      </c>
      <c r="P1142" s="6">
        <f>HYPERLINK("https://docs.wto.org/imrd/directdoc.asp?DDFDocuments/u/G/TBTN23/JPN790A1.DOCX", "https://docs.wto.org/imrd/directdoc.asp?DDFDocuments/u/G/TBTN23/JPN790A1.DOCX")</f>
      </c>
      <c r="Q1142" s="6">
        <f>HYPERLINK("https://docs.wto.org/imrd/directdoc.asp?DDFDocuments/v/G/TBTN23/JPN790A1.DOCX", "https://docs.wto.org/imrd/directdoc.asp?DDFDocuments/v/G/TBTN23/JPN790A1.DOCX")</f>
      </c>
    </row>
    <row r="1143">
      <c r="A1143" s="6" t="s">
        <v>515</v>
      </c>
      <c r="B1143" s="7">
        <v>45485</v>
      </c>
      <c r="C1143" s="6">
        <f>HYPERLINK("https://eping.wto.org/en/Search?viewData= G/TBT/N/EU/1074"," G/TBT/N/EU/1074")</f>
      </c>
      <c r="D1143" s="8" t="s">
        <v>3936</v>
      </c>
      <c r="E1143" s="8" t="s">
        <v>3937</v>
      </c>
      <c r="F1143" s="8" t="s">
        <v>3938</v>
      </c>
      <c r="G1143" s="6" t="s">
        <v>40</v>
      </c>
      <c r="H1143" s="6" t="s">
        <v>3939</v>
      </c>
      <c r="I1143" s="6" t="s">
        <v>147</v>
      </c>
      <c r="J1143" s="6" t="s">
        <v>40</v>
      </c>
      <c r="K1143" s="6"/>
      <c r="L1143" s="7">
        <v>45545</v>
      </c>
      <c r="M1143" s="6" t="s">
        <v>25</v>
      </c>
      <c r="N1143" s="8" t="s">
        <v>3940</v>
      </c>
      <c r="O1143" s="6">
        <f>HYPERLINK("https://docs.wto.org/imrd/directdoc.asp?DDFDocuments/t/G/TBTN24/EU1074.DOCX", "https://docs.wto.org/imrd/directdoc.asp?DDFDocuments/t/G/TBTN24/EU1074.DOCX")</f>
      </c>
      <c r="P1143" s="6">
        <f>HYPERLINK("https://docs.wto.org/imrd/directdoc.asp?DDFDocuments/u/G/TBTN24/EU1074.DOCX", "https://docs.wto.org/imrd/directdoc.asp?DDFDocuments/u/G/TBTN24/EU1074.DOCX")</f>
      </c>
      <c r="Q1143" s="6">
        <f>HYPERLINK("https://docs.wto.org/imrd/directdoc.asp?DDFDocuments/v/G/TBTN24/EU1074.DOCX", "https://docs.wto.org/imrd/directdoc.asp?DDFDocuments/v/G/TBTN24/EU1074.DOCX")</f>
      </c>
    </row>
    <row r="1144">
      <c r="A1144" s="6" t="s">
        <v>515</v>
      </c>
      <c r="B1144" s="7">
        <v>45485</v>
      </c>
      <c r="C1144" s="6">
        <f>HYPERLINK("https://eping.wto.org/en/Search?viewData= G/SPS/N/EU/787"," G/SPS/N/EU/787")</f>
      </c>
      <c r="D1144" s="8" t="s">
        <v>3941</v>
      </c>
      <c r="E1144" s="8" t="s">
        <v>3942</v>
      </c>
      <c r="F1144" s="8" t="s">
        <v>3943</v>
      </c>
      <c r="G1144" s="6" t="s">
        <v>3944</v>
      </c>
      <c r="H1144" s="6" t="s">
        <v>40</v>
      </c>
      <c r="I1144" s="6" t="s">
        <v>38</v>
      </c>
      <c r="J1144" s="6" t="s">
        <v>103</v>
      </c>
      <c r="K1144" s="6"/>
      <c r="L1144" s="7">
        <v>45545</v>
      </c>
      <c r="M1144" s="6" t="s">
        <v>25</v>
      </c>
      <c r="N1144" s="8" t="s">
        <v>3945</v>
      </c>
      <c r="O1144" s="6">
        <f>HYPERLINK("https://docs.wto.org/imrd/directdoc.asp?DDFDocuments/t/G/SPS/NEU787.DOCX", "https://docs.wto.org/imrd/directdoc.asp?DDFDocuments/t/G/SPS/NEU787.DOCX")</f>
      </c>
      <c r="P1144" s="6">
        <f>HYPERLINK("https://docs.wto.org/imrd/directdoc.asp?DDFDocuments/u/G/SPS/NEU787.DOCX", "https://docs.wto.org/imrd/directdoc.asp?DDFDocuments/u/G/SPS/NEU787.DOCX")</f>
      </c>
      <c r="Q1144" s="6">
        <f>HYPERLINK("https://docs.wto.org/imrd/directdoc.asp?DDFDocuments/v/G/SPS/NEU787.DOCX", "https://docs.wto.org/imrd/directdoc.asp?DDFDocuments/v/G/SPS/NEU787.DOCX")</f>
      </c>
    </row>
    <row r="1145">
      <c r="A1145" s="6" t="s">
        <v>450</v>
      </c>
      <c r="B1145" s="7">
        <v>45485</v>
      </c>
      <c r="C1145" s="6">
        <f>HYPERLINK("https://eping.wto.org/en/Search?viewData= G/SPS/N/EGY/92/Add.7"," G/SPS/N/EGY/92/Add.7")</f>
      </c>
      <c r="D1145" s="8" t="s">
        <v>518</v>
      </c>
      <c r="E1145" s="8" t="s">
        <v>3946</v>
      </c>
      <c r="F1145" s="8" t="s">
        <v>518</v>
      </c>
      <c r="G1145" s="6" t="s">
        <v>40</v>
      </c>
      <c r="H1145" s="6" t="s">
        <v>40</v>
      </c>
      <c r="I1145" s="6" t="s">
        <v>38</v>
      </c>
      <c r="J1145" s="6" t="s">
        <v>384</v>
      </c>
      <c r="K1145" s="6"/>
      <c r="L1145" s="7" t="s">
        <v>40</v>
      </c>
      <c r="M1145" s="6" t="s">
        <v>76</v>
      </c>
      <c r="N1145" s="6"/>
      <c r="O1145" s="6">
        <f>HYPERLINK("https://docs.wto.org/imrd/directdoc.asp?DDFDocuments/t/G/SPS/NEGY92A7.DOCX", "https://docs.wto.org/imrd/directdoc.asp?DDFDocuments/t/G/SPS/NEGY92A7.DOCX")</f>
      </c>
      <c r="P1145" s="6">
        <f>HYPERLINK("https://docs.wto.org/imrd/directdoc.asp?DDFDocuments/u/G/SPS/NEGY92A7.DOCX", "https://docs.wto.org/imrd/directdoc.asp?DDFDocuments/u/G/SPS/NEGY92A7.DOCX")</f>
      </c>
      <c r="Q1145" s="6">
        <f>HYPERLINK("https://docs.wto.org/imrd/directdoc.asp?DDFDocuments/v/G/SPS/NEGY92A7.DOCX", "https://docs.wto.org/imrd/directdoc.asp?DDFDocuments/v/G/SPS/NEGY92A7.DOCX")</f>
      </c>
    </row>
    <row r="1146">
      <c r="A1146" s="6" t="s">
        <v>115</v>
      </c>
      <c r="B1146" s="7">
        <v>45485</v>
      </c>
      <c r="C1146" s="6">
        <f>HYPERLINK("https://eping.wto.org/en/Search?viewData= G/TBT/N/BRA/1554"," G/TBT/N/BRA/1554")</f>
      </c>
      <c r="D1146" s="8" t="s">
        <v>3947</v>
      </c>
      <c r="E1146" s="8" t="s">
        <v>3948</v>
      </c>
      <c r="F1146" s="8" t="s">
        <v>3811</v>
      </c>
      <c r="G1146" s="6" t="s">
        <v>2176</v>
      </c>
      <c r="H1146" s="6" t="s">
        <v>3949</v>
      </c>
      <c r="I1146" s="6" t="s">
        <v>147</v>
      </c>
      <c r="J1146" s="6" t="s">
        <v>24</v>
      </c>
      <c r="K1146" s="6"/>
      <c r="L1146" s="7" t="s">
        <v>40</v>
      </c>
      <c r="M1146" s="6" t="s">
        <v>25</v>
      </c>
      <c r="N1146" s="8" t="s">
        <v>3950</v>
      </c>
      <c r="O1146" s="6">
        <f>HYPERLINK("https://docs.wto.org/imrd/directdoc.asp?DDFDocuments/t/G/TBTN24/BRA1554.DOCX", "https://docs.wto.org/imrd/directdoc.asp?DDFDocuments/t/G/TBTN24/BRA1554.DOCX")</f>
      </c>
      <c r="P1146" s="6">
        <f>HYPERLINK("https://docs.wto.org/imrd/directdoc.asp?DDFDocuments/u/G/TBTN24/BRA1554.DOCX", "https://docs.wto.org/imrd/directdoc.asp?DDFDocuments/u/G/TBTN24/BRA1554.DOCX")</f>
      </c>
      <c r="Q1146" s="6">
        <f>HYPERLINK("https://docs.wto.org/imrd/directdoc.asp?DDFDocuments/v/G/TBTN24/BRA1554.DOCX", "https://docs.wto.org/imrd/directdoc.asp?DDFDocuments/v/G/TBTN24/BRA1554.DOCX")</f>
      </c>
    </row>
    <row r="1147">
      <c r="A1147" s="6" t="s">
        <v>1076</v>
      </c>
      <c r="B1147" s="7">
        <v>45484</v>
      </c>
      <c r="C1147" s="6">
        <f>HYPERLINK("https://eping.wto.org/en/Search?viewData= G/SPS/N/CHN/1295/Add.1"," G/SPS/N/CHN/1295/Add.1")</f>
      </c>
      <c r="D1147" s="8" t="s">
        <v>3951</v>
      </c>
      <c r="E1147" s="8" t="s">
        <v>3952</v>
      </c>
      <c r="F1147" s="8" t="s">
        <v>3953</v>
      </c>
      <c r="G1147" s="6" t="s">
        <v>40</v>
      </c>
      <c r="H1147" s="6" t="s">
        <v>40</v>
      </c>
      <c r="I1147" s="6" t="s">
        <v>38</v>
      </c>
      <c r="J1147" s="6" t="s">
        <v>3954</v>
      </c>
      <c r="K1147" s="6"/>
      <c r="L1147" s="7">
        <v>45520</v>
      </c>
      <c r="M1147" s="6" t="s">
        <v>76</v>
      </c>
      <c r="N1147" s="8" t="s">
        <v>3955</v>
      </c>
      <c r="O1147" s="6">
        <f>HYPERLINK("https://docs.wto.org/imrd/directdoc.asp?DDFDocuments/t/G/SPS/NCHN1295A1.DOCX", "https://docs.wto.org/imrd/directdoc.asp?DDFDocuments/t/G/SPS/NCHN1295A1.DOCX")</f>
      </c>
      <c r="P1147" s="6">
        <f>HYPERLINK("https://docs.wto.org/imrd/directdoc.asp?DDFDocuments/u/G/SPS/NCHN1295A1.DOCX", "https://docs.wto.org/imrd/directdoc.asp?DDFDocuments/u/G/SPS/NCHN1295A1.DOCX")</f>
      </c>
      <c r="Q1147" s="6">
        <f>HYPERLINK("https://docs.wto.org/imrd/directdoc.asp?DDFDocuments/v/G/SPS/NCHN1295A1.DOCX", "https://docs.wto.org/imrd/directdoc.asp?DDFDocuments/v/G/SPS/NCHN1295A1.DOCX")</f>
      </c>
    </row>
    <row r="1148">
      <c r="A1148" s="6" t="s">
        <v>442</v>
      </c>
      <c r="B1148" s="7">
        <v>45484</v>
      </c>
      <c r="C1148" s="6">
        <f>HYPERLINK("https://eping.wto.org/en/Search?viewData= G/TBT/N/MEX/533"," G/TBT/N/MEX/533")</f>
      </c>
      <c r="D1148" s="8" t="s">
        <v>3956</v>
      </c>
      <c r="E1148" s="8" t="s">
        <v>3957</v>
      </c>
      <c r="F1148" s="8" t="s">
        <v>3958</v>
      </c>
      <c r="G1148" s="6" t="s">
        <v>40</v>
      </c>
      <c r="H1148" s="6" t="s">
        <v>3959</v>
      </c>
      <c r="I1148" s="6" t="s">
        <v>2089</v>
      </c>
      <c r="J1148" s="6" t="s">
        <v>40</v>
      </c>
      <c r="K1148" s="6"/>
      <c r="L1148" s="7">
        <v>45544</v>
      </c>
      <c r="M1148" s="6" t="s">
        <v>25</v>
      </c>
      <c r="N1148" s="8" t="s">
        <v>3960</v>
      </c>
      <c r="O1148" s="6">
        <f>HYPERLINK("https://docs.wto.org/imrd/directdoc.asp?DDFDocuments/t/G/TBTN24/MEX533.DOCX", "https://docs.wto.org/imrd/directdoc.asp?DDFDocuments/t/G/TBTN24/MEX533.DOCX")</f>
      </c>
      <c r="P1148" s="6">
        <f>HYPERLINK("https://docs.wto.org/imrd/directdoc.asp?DDFDocuments/u/G/TBTN24/MEX533.DOCX", "https://docs.wto.org/imrd/directdoc.asp?DDFDocuments/u/G/TBTN24/MEX533.DOCX")</f>
      </c>
      <c r="Q1148" s="6">
        <f>HYPERLINK("https://docs.wto.org/imrd/directdoc.asp?DDFDocuments/v/G/TBTN24/MEX533.DOCX", "https://docs.wto.org/imrd/directdoc.asp?DDFDocuments/v/G/TBTN24/MEX533.DOCX")</f>
      </c>
    </row>
    <row r="1149">
      <c r="A1149" s="6" t="s">
        <v>2672</v>
      </c>
      <c r="B1149" s="7">
        <v>45484</v>
      </c>
      <c r="C1149" s="6">
        <f>HYPERLINK("https://eping.wto.org/en/Search?viewData= G/SPS/N/MAR/97/Add.1"," G/SPS/N/MAR/97/Add.1")</f>
      </c>
      <c r="D1149" s="8" t="s">
        <v>3961</v>
      </c>
      <c r="E1149" s="8" t="s">
        <v>3961</v>
      </c>
      <c r="F1149" s="8" t="s">
        <v>3962</v>
      </c>
      <c r="G1149" s="6" t="s">
        <v>3047</v>
      </c>
      <c r="H1149" s="6" t="s">
        <v>40</v>
      </c>
      <c r="I1149" s="6" t="s">
        <v>791</v>
      </c>
      <c r="J1149" s="6" t="s">
        <v>3963</v>
      </c>
      <c r="K1149" s="6"/>
      <c r="L1149" s="7" t="s">
        <v>40</v>
      </c>
      <c r="M1149" s="6" t="s">
        <v>76</v>
      </c>
      <c r="N1149" s="8" t="s">
        <v>3964</v>
      </c>
      <c r="O1149" s="6">
        <f>HYPERLINK("https://docs.wto.org/imrd/directdoc.asp?DDFDocuments/t/G/SPS/NMAR97A1.DOCX", "https://docs.wto.org/imrd/directdoc.asp?DDFDocuments/t/G/SPS/NMAR97A1.DOCX")</f>
      </c>
      <c r="P1149" s="6">
        <f>HYPERLINK("https://docs.wto.org/imrd/directdoc.asp?DDFDocuments/u/G/SPS/NMAR97A1.DOCX", "https://docs.wto.org/imrd/directdoc.asp?DDFDocuments/u/G/SPS/NMAR97A1.DOCX")</f>
      </c>
      <c r="Q1149" s="6">
        <f>HYPERLINK("https://docs.wto.org/imrd/directdoc.asp?DDFDocuments/v/G/SPS/NMAR97A1.DOCX", "https://docs.wto.org/imrd/directdoc.asp?DDFDocuments/v/G/SPS/NMAR97A1.DOCX")</f>
      </c>
    </row>
    <row r="1150">
      <c r="A1150" s="6" t="s">
        <v>1076</v>
      </c>
      <c r="B1150" s="7">
        <v>45484</v>
      </c>
      <c r="C1150" s="6">
        <f>HYPERLINK("https://eping.wto.org/en/Search?viewData= G/SPS/N/CHN/1302"," G/SPS/N/CHN/1302")</f>
      </c>
      <c r="D1150" s="8" t="s">
        <v>3965</v>
      </c>
      <c r="E1150" s="8" t="s">
        <v>3966</v>
      </c>
      <c r="F1150" s="8" t="s">
        <v>3967</v>
      </c>
      <c r="G1150" s="6" t="s">
        <v>3968</v>
      </c>
      <c r="H1150" s="6" t="s">
        <v>40</v>
      </c>
      <c r="I1150" s="6" t="s">
        <v>38</v>
      </c>
      <c r="J1150" s="6" t="s">
        <v>60</v>
      </c>
      <c r="K1150" s="6" t="s">
        <v>40</v>
      </c>
      <c r="L1150" s="7">
        <v>45544</v>
      </c>
      <c r="M1150" s="6" t="s">
        <v>25</v>
      </c>
      <c r="N1150" s="8" t="s">
        <v>3969</v>
      </c>
      <c r="O1150" s="6">
        <f>HYPERLINK("https://docs.wto.org/imrd/directdoc.asp?DDFDocuments/t/G/SPS/NCHN1302.DOCX", "https://docs.wto.org/imrd/directdoc.asp?DDFDocuments/t/G/SPS/NCHN1302.DOCX")</f>
      </c>
      <c r="P1150" s="6">
        <f>HYPERLINK("https://docs.wto.org/imrd/directdoc.asp?DDFDocuments/u/G/SPS/NCHN1302.DOCX", "https://docs.wto.org/imrd/directdoc.asp?DDFDocuments/u/G/SPS/NCHN1302.DOCX")</f>
      </c>
      <c r="Q1150" s="6">
        <f>HYPERLINK("https://docs.wto.org/imrd/directdoc.asp?DDFDocuments/v/G/SPS/NCHN1302.DOCX", "https://docs.wto.org/imrd/directdoc.asp?DDFDocuments/v/G/SPS/NCHN1302.DOCX")</f>
      </c>
    </row>
    <row r="1151">
      <c r="A1151" s="6" t="s">
        <v>1076</v>
      </c>
      <c r="B1151" s="7">
        <v>45484</v>
      </c>
      <c r="C1151" s="6">
        <f>HYPERLINK("https://eping.wto.org/en/Search?viewData= G/SPS/N/CHN/1311"," G/SPS/N/CHN/1311")</f>
      </c>
      <c r="D1151" s="8" t="s">
        <v>3970</v>
      </c>
      <c r="E1151" s="8" t="s">
        <v>3971</v>
      </c>
      <c r="F1151" s="8" t="s">
        <v>3972</v>
      </c>
      <c r="G1151" s="6" t="s">
        <v>3973</v>
      </c>
      <c r="H1151" s="6" t="s">
        <v>336</v>
      </c>
      <c r="I1151" s="6" t="s">
        <v>38</v>
      </c>
      <c r="J1151" s="6" t="s">
        <v>3974</v>
      </c>
      <c r="K1151" s="6" t="s">
        <v>40</v>
      </c>
      <c r="L1151" s="7">
        <v>45544</v>
      </c>
      <c r="M1151" s="6" t="s">
        <v>25</v>
      </c>
      <c r="N1151" s="8" t="s">
        <v>3975</v>
      </c>
      <c r="O1151" s="6">
        <f>HYPERLINK("https://docs.wto.org/imrd/directdoc.asp?DDFDocuments/t/G/SPS/NCHN1311.DOCX", "https://docs.wto.org/imrd/directdoc.asp?DDFDocuments/t/G/SPS/NCHN1311.DOCX")</f>
      </c>
      <c r="P1151" s="6">
        <f>HYPERLINK("https://docs.wto.org/imrd/directdoc.asp?DDFDocuments/u/G/SPS/NCHN1311.DOCX", "https://docs.wto.org/imrd/directdoc.asp?DDFDocuments/u/G/SPS/NCHN1311.DOCX")</f>
      </c>
      <c r="Q1151" s="6">
        <f>HYPERLINK("https://docs.wto.org/imrd/directdoc.asp?DDFDocuments/v/G/SPS/NCHN1311.DOCX", "https://docs.wto.org/imrd/directdoc.asp?DDFDocuments/v/G/SPS/NCHN1311.DOCX")</f>
      </c>
    </row>
    <row r="1152">
      <c r="A1152" s="6" t="s">
        <v>1076</v>
      </c>
      <c r="B1152" s="7">
        <v>45484</v>
      </c>
      <c r="C1152" s="6">
        <f>HYPERLINK("https://eping.wto.org/en/Search?viewData= G/SPS/N/CHN/1312"," G/SPS/N/CHN/1312")</f>
      </c>
      <c r="D1152" s="8" t="s">
        <v>3976</v>
      </c>
      <c r="E1152" s="8" t="s">
        <v>3977</v>
      </c>
      <c r="F1152" s="8" t="s">
        <v>3978</v>
      </c>
      <c r="G1152" s="6" t="s">
        <v>40</v>
      </c>
      <c r="H1152" s="6" t="s">
        <v>40</v>
      </c>
      <c r="I1152" s="6" t="s">
        <v>38</v>
      </c>
      <c r="J1152" s="6" t="s">
        <v>3979</v>
      </c>
      <c r="K1152" s="6" t="s">
        <v>40</v>
      </c>
      <c r="L1152" s="7">
        <v>45544</v>
      </c>
      <c r="M1152" s="6" t="s">
        <v>25</v>
      </c>
      <c r="N1152" s="8" t="s">
        <v>3980</v>
      </c>
      <c r="O1152" s="6">
        <f>HYPERLINK("https://docs.wto.org/imrd/directdoc.asp?DDFDocuments/t/G/SPS/NCHN1312.DOCX", "https://docs.wto.org/imrd/directdoc.asp?DDFDocuments/t/G/SPS/NCHN1312.DOCX")</f>
      </c>
      <c r="P1152" s="6">
        <f>HYPERLINK("https://docs.wto.org/imrd/directdoc.asp?DDFDocuments/u/G/SPS/NCHN1312.DOCX", "https://docs.wto.org/imrd/directdoc.asp?DDFDocuments/u/G/SPS/NCHN1312.DOCX")</f>
      </c>
      <c r="Q1152" s="6">
        <f>HYPERLINK("https://docs.wto.org/imrd/directdoc.asp?DDFDocuments/v/G/SPS/NCHN1312.DOCX", "https://docs.wto.org/imrd/directdoc.asp?DDFDocuments/v/G/SPS/NCHN1312.DOCX")</f>
      </c>
    </row>
    <row r="1153">
      <c r="A1153" s="6" t="s">
        <v>1076</v>
      </c>
      <c r="B1153" s="7">
        <v>45484</v>
      </c>
      <c r="C1153" s="6">
        <f>HYPERLINK("https://eping.wto.org/en/Search?viewData= G/SPS/N/CHN/1306"," G/SPS/N/CHN/1306")</f>
      </c>
      <c r="D1153" s="8" t="s">
        <v>3981</v>
      </c>
      <c r="E1153" s="8" t="s">
        <v>3982</v>
      </c>
      <c r="F1153" s="8" t="s">
        <v>3983</v>
      </c>
      <c r="G1153" s="6" t="s">
        <v>40</v>
      </c>
      <c r="H1153" s="6" t="s">
        <v>40</v>
      </c>
      <c r="I1153" s="6" t="s">
        <v>38</v>
      </c>
      <c r="J1153" s="6" t="s">
        <v>60</v>
      </c>
      <c r="K1153" s="6" t="s">
        <v>40</v>
      </c>
      <c r="L1153" s="7">
        <v>45544</v>
      </c>
      <c r="M1153" s="6" t="s">
        <v>25</v>
      </c>
      <c r="N1153" s="8" t="s">
        <v>3984</v>
      </c>
      <c r="O1153" s="6">
        <f>HYPERLINK("https://docs.wto.org/imrd/directdoc.asp?DDFDocuments/t/G/SPS/NCHN1306.DOCX", "https://docs.wto.org/imrd/directdoc.asp?DDFDocuments/t/G/SPS/NCHN1306.DOCX")</f>
      </c>
      <c r="P1153" s="6">
        <f>HYPERLINK("https://docs.wto.org/imrd/directdoc.asp?DDFDocuments/u/G/SPS/NCHN1306.DOCX", "https://docs.wto.org/imrd/directdoc.asp?DDFDocuments/u/G/SPS/NCHN1306.DOCX")</f>
      </c>
      <c r="Q1153" s="6">
        <f>HYPERLINK("https://docs.wto.org/imrd/directdoc.asp?DDFDocuments/v/G/SPS/NCHN1306.DOCX", "https://docs.wto.org/imrd/directdoc.asp?DDFDocuments/v/G/SPS/NCHN1306.DOCX")</f>
      </c>
    </row>
    <row r="1154">
      <c r="A1154" s="6" t="s">
        <v>1076</v>
      </c>
      <c r="B1154" s="7">
        <v>45484</v>
      </c>
      <c r="C1154" s="6">
        <f>HYPERLINK("https://eping.wto.org/en/Search?viewData= G/SPS/N/CHN/1307"," G/SPS/N/CHN/1307")</f>
      </c>
      <c r="D1154" s="8" t="s">
        <v>3985</v>
      </c>
      <c r="E1154" s="8" t="s">
        <v>3986</v>
      </c>
      <c r="F1154" s="8" t="s">
        <v>3987</v>
      </c>
      <c r="G1154" s="6" t="s">
        <v>40</v>
      </c>
      <c r="H1154" s="6" t="s">
        <v>40</v>
      </c>
      <c r="I1154" s="6" t="s">
        <v>38</v>
      </c>
      <c r="J1154" s="6" t="s">
        <v>39</v>
      </c>
      <c r="K1154" s="6" t="s">
        <v>40</v>
      </c>
      <c r="L1154" s="7">
        <v>45544</v>
      </c>
      <c r="M1154" s="6" t="s">
        <v>25</v>
      </c>
      <c r="N1154" s="8" t="s">
        <v>3988</v>
      </c>
      <c r="O1154" s="6">
        <f>HYPERLINK("https://docs.wto.org/imrd/directdoc.asp?DDFDocuments/t/G/SPS/NCHN1307.DOCX", "https://docs.wto.org/imrd/directdoc.asp?DDFDocuments/t/G/SPS/NCHN1307.DOCX")</f>
      </c>
      <c r="P1154" s="6">
        <f>HYPERLINK("https://docs.wto.org/imrd/directdoc.asp?DDFDocuments/u/G/SPS/NCHN1307.DOCX", "https://docs.wto.org/imrd/directdoc.asp?DDFDocuments/u/G/SPS/NCHN1307.DOCX")</f>
      </c>
      <c r="Q1154" s="6">
        <f>HYPERLINK("https://docs.wto.org/imrd/directdoc.asp?DDFDocuments/v/G/SPS/NCHN1307.DOCX", "https://docs.wto.org/imrd/directdoc.asp?DDFDocuments/v/G/SPS/NCHN1307.DOCX")</f>
      </c>
    </row>
    <row r="1155">
      <c r="A1155" s="6" t="s">
        <v>1076</v>
      </c>
      <c r="B1155" s="7">
        <v>45484</v>
      </c>
      <c r="C1155" s="6">
        <f>HYPERLINK("https://eping.wto.org/en/Search?viewData= G/SPS/N/CHN/1303"," G/SPS/N/CHN/1303")</f>
      </c>
      <c r="D1155" s="8" t="s">
        <v>3989</v>
      </c>
      <c r="E1155" s="8" t="s">
        <v>3990</v>
      </c>
      <c r="F1155" s="8" t="s">
        <v>3991</v>
      </c>
      <c r="G1155" s="6" t="s">
        <v>3992</v>
      </c>
      <c r="H1155" s="6" t="s">
        <v>40</v>
      </c>
      <c r="I1155" s="6" t="s">
        <v>38</v>
      </c>
      <c r="J1155" s="6" t="s">
        <v>60</v>
      </c>
      <c r="K1155" s="6" t="s">
        <v>40</v>
      </c>
      <c r="L1155" s="7">
        <v>45544</v>
      </c>
      <c r="M1155" s="6" t="s">
        <v>25</v>
      </c>
      <c r="N1155" s="8" t="s">
        <v>3993</v>
      </c>
      <c r="O1155" s="6">
        <f>HYPERLINK("https://docs.wto.org/imrd/directdoc.asp?DDFDocuments/t/G/SPS/NCHN1303.DOCX", "https://docs.wto.org/imrd/directdoc.asp?DDFDocuments/t/G/SPS/NCHN1303.DOCX")</f>
      </c>
      <c r="P1155" s="6">
        <f>HYPERLINK("https://docs.wto.org/imrd/directdoc.asp?DDFDocuments/u/G/SPS/NCHN1303.DOCX", "https://docs.wto.org/imrd/directdoc.asp?DDFDocuments/u/G/SPS/NCHN1303.DOCX")</f>
      </c>
      <c r="Q1155" s="6">
        <f>HYPERLINK("https://docs.wto.org/imrd/directdoc.asp?DDFDocuments/v/G/SPS/NCHN1303.DOCX", "https://docs.wto.org/imrd/directdoc.asp?DDFDocuments/v/G/SPS/NCHN1303.DOCX")</f>
      </c>
    </row>
    <row r="1156">
      <c r="A1156" s="6" t="s">
        <v>1076</v>
      </c>
      <c r="B1156" s="7">
        <v>45484</v>
      </c>
      <c r="C1156" s="6">
        <f>HYPERLINK("https://eping.wto.org/en/Search?viewData= G/SPS/N/CHN/1304"," G/SPS/N/CHN/1304")</f>
      </c>
      <c r="D1156" s="8" t="s">
        <v>3994</v>
      </c>
      <c r="E1156" s="8" t="s">
        <v>3995</v>
      </c>
      <c r="F1156" s="8" t="s">
        <v>3996</v>
      </c>
      <c r="G1156" s="6" t="s">
        <v>3997</v>
      </c>
      <c r="H1156" s="6" t="s">
        <v>40</v>
      </c>
      <c r="I1156" s="6" t="s">
        <v>38</v>
      </c>
      <c r="J1156" s="6" t="s">
        <v>39</v>
      </c>
      <c r="K1156" s="6" t="s">
        <v>40</v>
      </c>
      <c r="L1156" s="7">
        <v>45544</v>
      </c>
      <c r="M1156" s="6" t="s">
        <v>25</v>
      </c>
      <c r="N1156" s="8" t="s">
        <v>3998</v>
      </c>
      <c r="O1156" s="6">
        <f>HYPERLINK("https://docs.wto.org/imrd/directdoc.asp?DDFDocuments/t/G/SPS/NCHN1304.DOCX", "https://docs.wto.org/imrd/directdoc.asp?DDFDocuments/t/G/SPS/NCHN1304.DOCX")</f>
      </c>
      <c r="P1156" s="6">
        <f>HYPERLINK("https://docs.wto.org/imrd/directdoc.asp?DDFDocuments/u/G/SPS/NCHN1304.DOCX", "https://docs.wto.org/imrd/directdoc.asp?DDFDocuments/u/G/SPS/NCHN1304.DOCX")</f>
      </c>
      <c r="Q1156" s="6">
        <f>HYPERLINK("https://docs.wto.org/imrd/directdoc.asp?DDFDocuments/v/G/SPS/NCHN1304.DOCX", "https://docs.wto.org/imrd/directdoc.asp?DDFDocuments/v/G/SPS/NCHN1304.DOCX")</f>
      </c>
    </row>
    <row r="1157">
      <c r="A1157" s="6" t="s">
        <v>348</v>
      </c>
      <c r="B1157" s="7">
        <v>45484</v>
      </c>
      <c r="C1157" s="6">
        <f>HYPERLINK("https://eping.wto.org/en/Search?viewData= G/SPS/N/RUS/284"," G/SPS/N/RUS/284")</f>
      </c>
      <c r="D1157" s="8" t="s">
        <v>3999</v>
      </c>
      <c r="E1157" s="8" t="s">
        <v>4000</v>
      </c>
      <c r="F1157" s="8" t="s">
        <v>1833</v>
      </c>
      <c r="G1157" s="6" t="s">
        <v>40</v>
      </c>
      <c r="H1157" s="6" t="s">
        <v>40</v>
      </c>
      <c r="I1157" s="6" t="s">
        <v>791</v>
      </c>
      <c r="J1157" s="6" t="s">
        <v>792</v>
      </c>
      <c r="K1157" s="6" t="s">
        <v>40</v>
      </c>
      <c r="L1157" s="7">
        <v>45538</v>
      </c>
      <c r="M1157" s="6" t="s">
        <v>25</v>
      </c>
      <c r="N1157" s="8" t="s">
        <v>4001</v>
      </c>
      <c r="O1157" s="6">
        <f>HYPERLINK("https://docs.wto.org/imrd/directdoc.asp?DDFDocuments/t/G/SPS/NRUS284.DOCX", "https://docs.wto.org/imrd/directdoc.asp?DDFDocuments/t/G/SPS/NRUS284.DOCX")</f>
      </c>
      <c r="P1157" s="6">
        <f>HYPERLINK("https://docs.wto.org/imrd/directdoc.asp?DDFDocuments/u/G/SPS/NRUS284.DOCX", "https://docs.wto.org/imrd/directdoc.asp?DDFDocuments/u/G/SPS/NRUS284.DOCX")</f>
      </c>
      <c r="Q1157" s="6">
        <f>HYPERLINK("https://docs.wto.org/imrd/directdoc.asp?DDFDocuments/v/G/SPS/NRUS284.DOCX", "https://docs.wto.org/imrd/directdoc.asp?DDFDocuments/v/G/SPS/NRUS284.DOCX")</f>
      </c>
    </row>
    <row r="1158">
      <c r="A1158" s="6" t="s">
        <v>1076</v>
      </c>
      <c r="B1158" s="7">
        <v>45484</v>
      </c>
      <c r="C1158" s="6">
        <f>HYPERLINK("https://eping.wto.org/en/Search?viewData= G/SPS/N/CHN/1314"," G/SPS/N/CHN/1314")</f>
      </c>
      <c r="D1158" s="8" t="s">
        <v>4002</v>
      </c>
      <c r="E1158" s="8" t="s">
        <v>4003</v>
      </c>
      <c r="F1158" s="8" t="s">
        <v>4004</v>
      </c>
      <c r="G1158" s="6" t="s">
        <v>40</v>
      </c>
      <c r="H1158" s="6" t="s">
        <v>40</v>
      </c>
      <c r="I1158" s="6" t="s">
        <v>819</v>
      </c>
      <c r="J1158" s="6" t="s">
        <v>4005</v>
      </c>
      <c r="K1158" s="6" t="s">
        <v>40</v>
      </c>
      <c r="L1158" s="7">
        <v>45544</v>
      </c>
      <c r="M1158" s="6" t="s">
        <v>25</v>
      </c>
      <c r="N1158" s="8" t="s">
        <v>4006</v>
      </c>
      <c r="O1158" s="6">
        <f>HYPERLINK("https://docs.wto.org/imrd/directdoc.asp?DDFDocuments/t/G/SPS/NCHN1314.DOCX", "https://docs.wto.org/imrd/directdoc.asp?DDFDocuments/t/G/SPS/NCHN1314.DOCX")</f>
      </c>
      <c r="P1158" s="6">
        <f>HYPERLINK("https://docs.wto.org/imrd/directdoc.asp?DDFDocuments/u/G/SPS/NCHN1314.DOCX", "https://docs.wto.org/imrd/directdoc.asp?DDFDocuments/u/G/SPS/NCHN1314.DOCX")</f>
      </c>
      <c r="Q1158" s="6">
        <f>HYPERLINK("https://docs.wto.org/imrd/directdoc.asp?DDFDocuments/v/G/SPS/NCHN1314.DOCX", "https://docs.wto.org/imrd/directdoc.asp?DDFDocuments/v/G/SPS/NCHN1314.DOCX")</f>
      </c>
    </row>
    <row r="1159">
      <c r="A1159" s="6" t="s">
        <v>1688</v>
      </c>
      <c r="B1159" s="7">
        <v>45484</v>
      </c>
      <c r="C1159" s="6">
        <f>HYPERLINK("https://eping.wto.org/en/Search?viewData= G/TBT/N/THA/745"," G/TBT/N/THA/745")</f>
      </c>
      <c r="D1159" s="8" t="s">
        <v>4007</v>
      </c>
      <c r="E1159" s="8" t="s">
        <v>4008</v>
      </c>
      <c r="F1159" s="8" t="s">
        <v>4009</v>
      </c>
      <c r="G1159" s="6" t="s">
        <v>40</v>
      </c>
      <c r="H1159" s="6" t="s">
        <v>40</v>
      </c>
      <c r="I1159" s="6" t="s">
        <v>147</v>
      </c>
      <c r="J1159" s="6" t="s">
        <v>95</v>
      </c>
      <c r="K1159" s="6"/>
      <c r="L1159" s="7">
        <v>45544</v>
      </c>
      <c r="M1159" s="6" t="s">
        <v>25</v>
      </c>
      <c r="N1159" s="8" t="s">
        <v>4010</v>
      </c>
      <c r="O1159" s="6">
        <f>HYPERLINK("https://docs.wto.org/imrd/directdoc.asp?DDFDocuments/t/G/TBTN24/THA745.DOCX", "https://docs.wto.org/imrd/directdoc.asp?DDFDocuments/t/G/TBTN24/THA745.DOCX")</f>
      </c>
      <c r="P1159" s="6">
        <f>HYPERLINK("https://docs.wto.org/imrd/directdoc.asp?DDFDocuments/u/G/TBTN24/THA745.DOCX", "https://docs.wto.org/imrd/directdoc.asp?DDFDocuments/u/G/TBTN24/THA745.DOCX")</f>
      </c>
      <c r="Q1159" s="6">
        <f>HYPERLINK("https://docs.wto.org/imrd/directdoc.asp?DDFDocuments/v/G/TBTN24/THA745.DOCX", "https://docs.wto.org/imrd/directdoc.asp?DDFDocuments/v/G/TBTN24/THA745.DOCX")</f>
      </c>
    </row>
    <row r="1160">
      <c r="A1160" s="6" t="s">
        <v>1076</v>
      </c>
      <c r="B1160" s="7">
        <v>45484</v>
      </c>
      <c r="C1160" s="6">
        <f>HYPERLINK("https://eping.wto.org/en/Search?viewData= G/SPS/N/CHN/1310"," G/SPS/N/CHN/1310")</f>
      </c>
      <c r="D1160" s="8" t="s">
        <v>4011</v>
      </c>
      <c r="E1160" s="8" t="s">
        <v>4012</v>
      </c>
      <c r="F1160" s="8" t="s">
        <v>4013</v>
      </c>
      <c r="G1160" s="6" t="s">
        <v>4014</v>
      </c>
      <c r="H1160" s="6" t="s">
        <v>40</v>
      </c>
      <c r="I1160" s="6" t="s">
        <v>38</v>
      </c>
      <c r="J1160" s="6" t="s">
        <v>39</v>
      </c>
      <c r="K1160" s="6" t="s">
        <v>40</v>
      </c>
      <c r="L1160" s="7">
        <v>45544</v>
      </c>
      <c r="M1160" s="6" t="s">
        <v>25</v>
      </c>
      <c r="N1160" s="8" t="s">
        <v>4015</v>
      </c>
      <c r="O1160" s="6">
        <f>HYPERLINK("https://docs.wto.org/imrd/directdoc.asp?DDFDocuments/t/G/SPS/NCHN1310.DOCX", "https://docs.wto.org/imrd/directdoc.asp?DDFDocuments/t/G/SPS/NCHN1310.DOCX")</f>
      </c>
      <c r="P1160" s="6">
        <f>HYPERLINK("https://docs.wto.org/imrd/directdoc.asp?DDFDocuments/u/G/SPS/NCHN1310.DOCX", "https://docs.wto.org/imrd/directdoc.asp?DDFDocuments/u/G/SPS/NCHN1310.DOCX")</f>
      </c>
      <c r="Q1160" s="6">
        <f>HYPERLINK("https://docs.wto.org/imrd/directdoc.asp?DDFDocuments/v/G/SPS/NCHN1310.DOCX", "https://docs.wto.org/imrd/directdoc.asp?DDFDocuments/v/G/SPS/NCHN1310.DOCX")</f>
      </c>
    </row>
    <row r="1161">
      <c r="A1161" s="6" t="s">
        <v>515</v>
      </c>
      <c r="B1161" s="7">
        <v>45484</v>
      </c>
      <c r="C1161" s="6">
        <f>HYPERLINK("https://eping.wto.org/en/Search?viewData= G/SPS/N/EU/786"," G/SPS/N/EU/786")</f>
      </c>
      <c r="D1161" s="8" t="s">
        <v>4016</v>
      </c>
      <c r="E1161" s="8" t="s">
        <v>4017</v>
      </c>
      <c r="F1161" s="8" t="s">
        <v>4018</v>
      </c>
      <c r="G1161" s="6" t="s">
        <v>4019</v>
      </c>
      <c r="H1161" s="6" t="s">
        <v>40</v>
      </c>
      <c r="I1161" s="6" t="s">
        <v>827</v>
      </c>
      <c r="J1161" s="6" t="s">
        <v>792</v>
      </c>
      <c r="K1161" s="6"/>
      <c r="L1161" s="7" t="s">
        <v>40</v>
      </c>
      <c r="M1161" s="6" t="s">
        <v>25</v>
      </c>
      <c r="N1161" s="8" t="s">
        <v>4020</v>
      </c>
      <c r="O1161" s="6">
        <f>HYPERLINK("https://docs.wto.org/imrd/directdoc.asp?DDFDocuments/t/G/SPS/NEU786.DOCX", "https://docs.wto.org/imrd/directdoc.asp?DDFDocuments/t/G/SPS/NEU786.DOCX")</f>
      </c>
      <c r="P1161" s="6">
        <f>HYPERLINK("https://docs.wto.org/imrd/directdoc.asp?DDFDocuments/u/G/SPS/NEU786.DOCX", "https://docs.wto.org/imrd/directdoc.asp?DDFDocuments/u/G/SPS/NEU786.DOCX")</f>
      </c>
      <c r="Q1161" s="6">
        <f>HYPERLINK("https://docs.wto.org/imrd/directdoc.asp?DDFDocuments/v/G/SPS/NEU786.DOCX", "https://docs.wto.org/imrd/directdoc.asp?DDFDocuments/v/G/SPS/NEU786.DOCX")</f>
      </c>
    </row>
    <row r="1162">
      <c r="A1162" s="6" t="s">
        <v>307</v>
      </c>
      <c r="B1162" s="7">
        <v>45484</v>
      </c>
      <c r="C1162" s="6">
        <f>HYPERLINK("https://eping.wto.org/en/Search?viewData= G/TBT/N/CAN/710/Add.1"," G/TBT/N/CAN/710/Add.1")</f>
      </c>
      <c r="D1162" s="8" t="s">
        <v>4021</v>
      </c>
      <c r="E1162" s="8" t="s">
        <v>4022</v>
      </c>
      <c r="F1162" s="8" t="s">
        <v>4023</v>
      </c>
      <c r="G1162" s="6" t="s">
        <v>40</v>
      </c>
      <c r="H1162" s="6" t="s">
        <v>4024</v>
      </c>
      <c r="I1162" s="6" t="s">
        <v>142</v>
      </c>
      <c r="J1162" s="6" t="s">
        <v>40</v>
      </c>
      <c r="K1162" s="6"/>
      <c r="L1162" s="7" t="s">
        <v>40</v>
      </c>
      <c r="M1162" s="6" t="s">
        <v>76</v>
      </c>
      <c r="N1162" s="6"/>
      <c r="O1162" s="6">
        <f>HYPERLINK("https://docs.wto.org/imrd/directdoc.asp?DDFDocuments/t/G/TBTN23/CAN710A1.DOCX", "https://docs.wto.org/imrd/directdoc.asp?DDFDocuments/t/G/TBTN23/CAN710A1.DOCX")</f>
      </c>
      <c r="P1162" s="6">
        <f>HYPERLINK("https://docs.wto.org/imrd/directdoc.asp?DDFDocuments/u/G/TBTN23/CAN710A1.DOCX", "https://docs.wto.org/imrd/directdoc.asp?DDFDocuments/u/G/TBTN23/CAN710A1.DOCX")</f>
      </c>
      <c r="Q1162" s="6">
        <f>HYPERLINK("https://docs.wto.org/imrd/directdoc.asp?DDFDocuments/v/G/TBTN23/CAN710A1.DOCX", "https://docs.wto.org/imrd/directdoc.asp?DDFDocuments/v/G/TBTN23/CAN710A1.DOCX")</f>
      </c>
    </row>
    <row r="1163">
      <c r="A1163" s="6" t="s">
        <v>358</v>
      </c>
      <c r="B1163" s="7">
        <v>45484</v>
      </c>
      <c r="C1163" s="6">
        <f>HYPERLINK("https://eping.wto.org/en/Search?viewData= G/TBT/N/NZL/114/Add.1"," G/TBT/N/NZL/114/Add.1")</f>
      </c>
      <c r="D1163" s="8" t="s">
        <v>4025</v>
      </c>
      <c r="E1163" s="8" t="s">
        <v>4026</v>
      </c>
      <c r="F1163" s="8" t="s">
        <v>4027</v>
      </c>
      <c r="G1163" s="6" t="s">
        <v>40</v>
      </c>
      <c r="H1163" s="6" t="s">
        <v>40</v>
      </c>
      <c r="I1163" s="6" t="s">
        <v>2991</v>
      </c>
      <c r="J1163" s="6" t="s">
        <v>40</v>
      </c>
      <c r="K1163" s="6"/>
      <c r="L1163" s="7" t="s">
        <v>40</v>
      </c>
      <c r="M1163" s="6" t="s">
        <v>76</v>
      </c>
      <c r="N1163" s="6"/>
      <c r="O1163" s="6">
        <f>HYPERLINK("https://docs.wto.org/imrd/directdoc.asp?DDFDocuments/t/G/TBTN22/NZL114A1.DOCX", "https://docs.wto.org/imrd/directdoc.asp?DDFDocuments/t/G/TBTN22/NZL114A1.DOCX")</f>
      </c>
      <c r="P1163" s="6">
        <f>HYPERLINK("https://docs.wto.org/imrd/directdoc.asp?DDFDocuments/u/G/TBTN22/NZL114A1.DOCX", "https://docs.wto.org/imrd/directdoc.asp?DDFDocuments/u/G/TBTN22/NZL114A1.DOCX")</f>
      </c>
      <c r="Q1163" s="6">
        <f>HYPERLINK("https://docs.wto.org/imrd/directdoc.asp?DDFDocuments/v/G/TBTN22/NZL114A1.DOCX", "https://docs.wto.org/imrd/directdoc.asp?DDFDocuments/v/G/TBTN22/NZL114A1.DOCX")</f>
      </c>
    </row>
    <row r="1164">
      <c r="A1164" s="6" t="s">
        <v>1076</v>
      </c>
      <c r="B1164" s="7">
        <v>45484</v>
      </c>
      <c r="C1164" s="6">
        <f>HYPERLINK("https://eping.wto.org/en/Search?viewData= G/TBT/N/CHN/1401/Add.2"," G/TBT/N/CHN/1401/Add.2")</f>
      </c>
      <c r="D1164" s="8" t="s">
        <v>4028</v>
      </c>
      <c r="E1164" s="8" t="s">
        <v>4029</v>
      </c>
      <c r="F1164" s="8" t="s">
        <v>4030</v>
      </c>
      <c r="G1164" s="6" t="s">
        <v>40</v>
      </c>
      <c r="H1164" s="6" t="s">
        <v>250</v>
      </c>
      <c r="I1164" s="6" t="s">
        <v>337</v>
      </c>
      <c r="J1164" s="6" t="s">
        <v>148</v>
      </c>
      <c r="K1164" s="6"/>
      <c r="L1164" s="7" t="s">
        <v>40</v>
      </c>
      <c r="M1164" s="6" t="s">
        <v>76</v>
      </c>
      <c r="N1164" s="8" t="s">
        <v>4031</v>
      </c>
      <c r="O1164" s="6">
        <f>HYPERLINK("https://docs.wto.org/imrd/directdoc.asp?DDFDocuments/t/G/TBTN19/CHN1401A2.DOCX", "https://docs.wto.org/imrd/directdoc.asp?DDFDocuments/t/G/TBTN19/CHN1401A2.DOCX")</f>
      </c>
      <c r="P1164" s="6">
        <f>HYPERLINK("https://docs.wto.org/imrd/directdoc.asp?DDFDocuments/u/G/TBTN19/CHN1401A2.DOCX", "https://docs.wto.org/imrd/directdoc.asp?DDFDocuments/u/G/TBTN19/CHN1401A2.DOCX")</f>
      </c>
      <c r="Q1164" s="6">
        <f>HYPERLINK("https://docs.wto.org/imrd/directdoc.asp?DDFDocuments/v/G/TBTN19/CHN1401A2.DOCX", "https://docs.wto.org/imrd/directdoc.asp?DDFDocuments/v/G/TBTN19/CHN1401A2.DOCX")</f>
      </c>
    </row>
    <row r="1165">
      <c r="A1165" s="6" t="s">
        <v>167</v>
      </c>
      <c r="B1165" s="7">
        <v>45484</v>
      </c>
      <c r="C1165" s="6">
        <f>HYPERLINK("https://eping.wto.org/en/Search?viewData= G/SPS/N/TUR/23/Rev.1/Add.1"," G/SPS/N/TUR/23/Rev.1/Add.1")</f>
      </c>
      <c r="D1165" s="8" t="s">
        <v>4032</v>
      </c>
      <c r="E1165" s="8" t="s">
        <v>4033</v>
      </c>
      <c r="F1165" s="8" t="s">
        <v>4034</v>
      </c>
      <c r="G1165" s="6" t="s">
        <v>4035</v>
      </c>
      <c r="H1165" s="6" t="s">
        <v>40</v>
      </c>
      <c r="I1165" s="6" t="s">
        <v>184</v>
      </c>
      <c r="J1165" s="6" t="s">
        <v>4036</v>
      </c>
      <c r="K1165" s="6"/>
      <c r="L1165" s="7">
        <v>45538</v>
      </c>
      <c r="M1165" s="6" t="s">
        <v>76</v>
      </c>
      <c r="N1165" s="6"/>
      <c r="O1165" s="6">
        <f>HYPERLINK("https://docs.wto.org/imrd/directdoc.asp?DDFDocuments/t/G/SPS/NTUR23R1A1.DOCX", "https://docs.wto.org/imrd/directdoc.asp?DDFDocuments/t/G/SPS/NTUR23R1A1.DOCX")</f>
      </c>
      <c r="P1165" s="6">
        <f>HYPERLINK("https://docs.wto.org/imrd/directdoc.asp?DDFDocuments/u/G/SPS/NTUR23R1A1.DOCX", "https://docs.wto.org/imrd/directdoc.asp?DDFDocuments/u/G/SPS/NTUR23R1A1.DOCX")</f>
      </c>
      <c r="Q1165" s="6">
        <f>HYPERLINK("https://docs.wto.org/imrd/directdoc.asp?DDFDocuments/v/G/SPS/NTUR23R1A1.DOCX", "https://docs.wto.org/imrd/directdoc.asp?DDFDocuments/v/G/SPS/NTUR23R1A1.DOCX")</f>
      </c>
    </row>
    <row r="1166">
      <c r="A1166" s="6" t="s">
        <v>1076</v>
      </c>
      <c r="B1166" s="7">
        <v>45484</v>
      </c>
      <c r="C1166" s="6">
        <f>HYPERLINK("https://eping.wto.org/en/Search?viewData= G/SPS/N/CHN/1308"," G/SPS/N/CHN/1308")</f>
      </c>
      <c r="D1166" s="8" t="s">
        <v>4037</v>
      </c>
      <c r="E1166" s="8" t="s">
        <v>4038</v>
      </c>
      <c r="F1166" s="8" t="s">
        <v>4039</v>
      </c>
      <c r="G1166" s="6" t="s">
        <v>40</v>
      </c>
      <c r="H1166" s="6" t="s">
        <v>40</v>
      </c>
      <c r="I1166" s="6" t="s">
        <v>38</v>
      </c>
      <c r="J1166" s="6" t="s">
        <v>60</v>
      </c>
      <c r="K1166" s="6" t="s">
        <v>40</v>
      </c>
      <c r="L1166" s="7">
        <v>45544</v>
      </c>
      <c r="M1166" s="6" t="s">
        <v>25</v>
      </c>
      <c r="N1166" s="8" t="s">
        <v>4040</v>
      </c>
      <c r="O1166" s="6">
        <f>HYPERLINK("https://docs.wto.org/imrd/directdoc.asp?DDFDocuments/t/G/SPS/NCHN1308.DOCX", "https://docs.wto.org/imrd/directdoc.asp?DDFDocuments/t/G/SPS/NCHN1308.DOCX")</f>
      </c>
      <c r="P1166" s="6">
        <f>HYPERLINK("https://docs.wto.org/imrd/directdoc.asp?DDFDocuments/u/G/SPS/NCHN1308.DOCX", "https://docs.wto.org/imrd/directdoc.asp?DDFDocuments/u/G/SPS/NCHN1308.DOCX")</f>
      </c>
      <c r="Q1166" s="6">
        <f>HYPERLINK("https://docs.wto.org/imrd/directdoc.asp?DDFDocuments/v/G/SPS/NCHN1308.DOCX", "https://docs.wto.org/imrd/directdoc.asp?DDFDocuments/v/G/SPS/NCHN1308.DOCX")</f>
      </c>
    </row>
    <row r="1167">
      <c r="A1167" s="6" t="s">
        <v>1076</v>
      </c>
      <c r="B1167" s="7">
        <v>45484</v>
      </c>
      <c r="C1167" s="6">
        <f>HYPERLINK("https://eping.wto.org/en/Search?viewData= G/TBT/N/CHN/1605/Add.1"," G/TBT/N/CHN/1605/Add.1")</f>
      </c>
      <c r="D1167" s="8" t="s">
        <v>4041</v>
      </c>
      <c r="E1167" s="8" t="s">
        <v>4042</v>
      </c>
      <c r="F1167" s="8" t="s">
        <v>4043</v>
      </c>
      <c r="G1167" s="6" t="s">
        <v>40</v>
      </c>
      <c r="H1167" s="6" t="s">
        <v>4044</v>
      </c>
      <c r="I1167" s="6" t="s">
        <v>147</v>
      </c>
      <c r="J1167" s="6" t="s">
        <v>40</v>
      </c>
      <c r="K1167" s="6"/>
      <c r="L1167" s="7" t="s">
        <v>40</v>
      </c>
      <c r="M1167" s="6" t="s">
        <v>76</v>
      </c>
      <c r="N1167" s="8" t="s">
        <v>4045</v>
      </c>
      <c r="O1167" s="6">
        <f>HYPERLINK("https://docs.wto.org/imrd/directdoc.asp?DDFDocuments/t/G/TBTN21/CHN1605A1.DOCX", "https://docs.wto.org/imrd/directdoc.asp?DDFDocuments/t/G/TBTN21/CHN1605A1.DOCX")</f>
      </c>
      <c r="P1167" s="6">
        <f>HYPERLINK("https://docs.wto.org/imrd/directdoc.asp?DDFDocuments/u/G/TBTN21/CHN1605A1.DOCX", "https://docs.wto.org/imrd/directdoc.asp?DDFDocuments/u/G/TBTN21/CHN1605A1.DOCX")</f>
      </c>
      <c r="Q1167" s="6">
        <f>HYPERLINK("https://docs.wto.org/imrd/directdoc.asp?DDFDocuments/v/G/TBTN21/CHN1605A1.DOCX", "https://docs.wto.org/imrd/directdoc.asp?DDFDocuments/v/G/TBTN21/CHN1605A1.DOCX")</f>
      </c>
    </row>
    <row r="1168">
      <c r="A1168" s="6" t="s">
        <v>1076</v>
      </c>
      <c r="B1168" s="7">
        <v>45484</v>
      </c>
      <c r="C1168" s="6">
        <f>HYPERLINK("https://eping.wto.org/en/Search?viewData= G/SPS/N/CHN/1309"," G/SPS/N/CHN/1309")</f>
      </c>
      <c r="D1168" s="8" t="s">
        <v>4046</v>
      </c>
      <c r="E1168" s="8" t="s">
        <v>4047</v>
      </c>
      <c r="F1168" s="8" t="s">
        <v>4048</v>
      </c>
      <c r="G1168" s="6" t="s">
        <v>40</v>
      </c>
      <c r="H1168" s="6" t="s">
        <v>40</v>
      </c>
      <c r="I1168" s="6" t="s">
        <v>38</v>
      </c>
      <c r="J1168" s="6" t="s">
        <v>60</v>
      </c>
      <c r="K1168" s="6" t="s">
        <v>40</v>
      </c>
      <c r="L1168" s="7">
        <v>45544</v>
      </c>
      <c r="M1168" s="6" t="s">
        <v>25</v>
      </c>
      <c r="N1168" s="8" t="s">
        <v>4049</v>
      </c>
      <c r="O1168" s="6">
        <f>HYPERLINK("https://docs.wto.org/imrd/directdoc.asp?DDFDocuments/t/G/SPS/NCHN1309.DOCX", "https://docs.wto.org/imrd/directdoc.asp?DDFDocuments/t/G/SPS/NCHN1309.DOCX")</f>
      </c>
      <c r="P1168" s="6">
        <f>HYPERLINK("https://docs.wto.org/imrd/directdoc.asp?DDFDocuments/u/G/SPS/NCHN1309.DOCX", "https://docs.wto.org/imrd/directdoc.asp?DDFDocuments/u/G/SPS/NCHN1309.DOCX")</f>
      </c>
      <c r="Q1168" s="6">
        <f>HYPERLINK("https://docs.wto.org/imrd/directdoc.asp?DDFDocuments/v/G/SPS/NCHN1309.DOCX", "https://docs.wto.org/imrd/directdoc.asp?DDFDocuments/v/G/SPS/NCHN1309.DOCX")</f>
      </c>
    </row>
    <row r="1169">
      <c r="A1169" s="6" t="s">
        <v>1076</v>
      </c>
      <c r="B1169" s="7">
        <v>45484</v>
      </c>
      <c r="C1169" s="6">
        <f>HYPERLINK("https://eping.wto.org/en/Search?viewData= G/SPS/N/CHN/1313"," G/SPS/N/CHN/1313")</f>
      </c>
      <c r="D1169" s="8" t="s">
        <v>4050</v>
      </c>
      <c r="E1169" s="8" t="s">
        <v>4051</v>
      </c>
      <c r="F1169" s="8" t="s">
        <v>4052</v>
      </c>
      <c r="G1169" s="6" t="s">
        <v>4053</v>
      </c>
      <c r="H1169" s="6" t="s">
        <v>40</v>
      </c>
      <c r="I1169" s="6" t="s">
        <v>38</v>
      </c>
      <c r="J1169" s="6" t="s">
        <v>60</v>
      </c>
      <c r="K1169" s="6" t="s">
        <v>40</v>
      </c>
      <c r="L1169" s="7">
        <v>45544</v>
      </c>
      <c r="M1169" s="6" t="s">
        <v>25</v>
      </c>
      <c r="N1169" s="8" t="s">
        <v>4054</v>
      </c>
      <c r="O1169" s="6">
        <f>HYPERLINK("https://docs.wto.org/imrd/directdoc.asp?DDFDocuments/t/G/SPS/NCHN1313.DOCX", "https://docs.wto.org/imrd/directdoc.asp?DDFDocuments/t/G/SPS/NCHN1313.DOCX")</f>
      </c>
      <c r="P1169" s="6">
        <f>HYPERLINK("https://docs.wto.org/imrd/directdoc.asp?DDFDocuments/u/G/SPS/NCHN1313.DOCX", "https://docs.wto.org/imrd/directdoc.asp?DDFDocuments/u/G/SPS/NCHN1313.DOCX")</f>
      </c>
      <c r="Q1169" s="6">
        <f>HYPERLINK("https://docs.wto.org/imrd/directdoc.asp?DDFDocuments/v/G/SPS/NCHN1313.DOCX", "https://docs.wto.org/imrd/directdoc.asp?DDFDocuments/v/G/SPS/NCHN1313.DOCX")</f>
      </c>
    </row>
    <row r="1170">
      <c r="A1170" s="6" t="s">
        <v>584</v>
      </c>
      <c r="B1170" s="7">
        <v>45484</v>
      </c>
      <c r="C1170" s="6">
        <f>HYPERLINK("https://eping.wto.org/en/Search?viewData= G/TBT/N/GBR/91"," G/TBT/N/GBR/91")</f>
      </c>
      <c r="D1170" s="8" t="s">
        <v>4055</v>
      </c>
      <c r="E1170" s="8" t="s">
        <v>4056</v>
      </c>
      <c r="F1170" s="8" t="s">
        <v>4057</v>
      </c>
      <c r="G1170" s="6" t="s">
        <v>4058</v>
      </c>
      <c r="H1170" s="6" t="s">
        <v>1316</v>
      </c>
      <c r="I1170" s="6" t="s">
        <v>165</v>
      </c>
      <c r="J1170" s="6" t="s">
        <v>40</v>
      </c>
      <c r="K1170" s="6"/>
      <c r="L1170" s="7">
        <v>45544</v>
      </c>
      <c r="M1170" s="6" t="s">
        <v>25</v>
      </c>
      <c r="N1170" s="8" t="s">
        <v>4059</v>
      </c>
      <c r="O1170" s="6">
        <f>HYPERLINK("https://docs.wto.org/imrd/directdoc.asp?DDFDocuments/t/G/TBTN24/GBR91.DOCX", "https://docs.wto.org/imrd/directdoc.asp?DDFDocuments/t/G/TBTN24/GBR91.DOCX")</f>
      </c>
      <c r="P1170" s="6">
        <f>HYPERLINK("https://docs.wto.org/imrd/directdoc.asp?DDFDocuments/u/G/TBTN24/GBR91.DOCX", "https://docs.wto.org/imrd/directdoc.asp?DDFDocuments/u/G/TBTN24/GBR91.DOCX")</f>
      </c>
      <c r="Q1170" s="6">
        <f>HYPERLINK("https://docs.wto.org/imrd/directdoc.asp?DDFDocuments/v/G/TBTN24/GBR91.DOCX", "https://docs.wto.org/imrd/directdoc.asp?DDFDocuments/v/G/TBTN24/GBR91.DOCX")</f>
      </c>
    </row>
    <row r="1171">
      <c r="A1171" s="6" t="s">
        <v>198</v>
      </c>
      <c r="B1171" s="7">
        <v>45484</v>
      </c>
      <c r="C1171" s="6">
        <f>HYPERLINK("https://eping.wto.org/en/Search?viewData= G/SPS/N/CHL/790/Add.1"," G/SPS/N/CHL/790/Add.1")</f>
      </c>
      <c r="D1171" s="8" t="s">
        <v>4060</v>
      </c>
      <c r="E1171" s="8" t="s">
        <v>4060</v>
      </c>
      <c r="F1171" s="8" t="s">
        <v>4061</v>
      </c>
      <c r="G1171" s="6" t="s">
        <v>4062</v>
      </c>
      <c r="H1171" s="6" t="s">
        <v>40</v>
      </c>
      <c r="I1171" s="6" t="s">
        <v>369</v>
      </c>
      <c r="J1171" s="6" t="s">
        <v>593</v>
      </c>
      <c r="K1171" s="6"/>
      <c r="L1171" s="7" t="s">
        <v>40</v>
      </c>
      <c r="M1171" s="6" t="s">
        <v>76</v>
      </c>
      <c r="N1171" s="8" t="s">
        <v>4063</v>
      </c>
      <c r="O1171" s="6">
        <f>HYPERLINK("https://docs.wto.org/imrd/directdoc.asp?DDFDocuments/t/G/SPS/NCHL790A1.DOCX", "https://docs.wto.org/imrd/directdoc.asp?DDFDocuments/t/G/SPS/NCHL790A1.DOCX")</f>
      </c>
      <c r="P1171" s="6">
        <f>HYPERLINK("https://docs.wto.org/imrd/directdoc.asp?DDFDocuments/u/G/SPS/NCHL790A1.DOCX", "https://docs.wto.org/imrd/directdoc.asp?DDFDocuments/u/G/SPS/NCHL790A1.DOCX")</f>
      </c>
      <c r="Q1171" s="6">
        <f>HYPERLINK("https://docs.wto.org/imrd/directdoc.asp?DDFDocuments/v/G/SPS/NCHL790A1.DOCX", "https://docs.wto.org/imrd/directdoc.asp?DDFDocuments/v/G/SPS/NCHL790A1.DOCX")</f>
      </c>
    </row>
    <row r="1172">
      <c r="A1172" s="6" t="s">
        <v>1076</v>
      </c>
      <c r="B1172" s="7">
        <v>45484</v>
      </c>
      <c r="C1172" s="6">
        <f>HYPERLINK("https://eping.wto.org/en/Search?viewData= G/SPS/N/CHN/1305"," G/SPS/N/CHN/1305")</f>
      </c>
      <c r="D1172" s="8" t="s">
        <v>4064</v>
      </c>
      <c r="E1172" s="8" t="s">
        <v>4065</v>
      </c>
      <c r="F1172" s="8" t="s">
        <v>4066</v>
      </c>
      <c r="G1172" s="6" t="s">
        <v>40</v>
      </c>
      <c r="H1172" s="6" t="s">
        <v>40</v>
      </c>
      <c r="I1172" s="6" t="s">
        <v>38</v>
      </c>
      <c r="J1172" s="6" t="s">
        <v>39</v>
      </c>
      <c r="K1172" s="6" t="s">
        <v>40</v>
      </c>
      <c r="L1172" s="7">
        <v>45544</v>
      </c>
      <c r="M1172" s="6" t="s">
        <v>25</v>
      </c>
      <c r="N1172" s="8" t="s">
        <v>4067</v>
      </c>
      <c r="O1172" s="6">
        <f>HYPERLINK("https://docs.wto.org/imrd/directdoc.asp?DDFDocuments/t/G/SPS/NCHN1305.DOCX", "https://docs.wto.org/imrd/directdoc.asp?DDFDocuments/t/G/SPS/NCHN1305.DOCX")</f>
      </c>
      <c r="P1172" s="6">
        <f>HYPERLINK("https://docs.wto.org/imrd/directdoc.asp?DDFDocuments/u/G/SPS/NCHN1305.DOCX", "https://docs.wto.org/imrd/directdoc.asp?DDFDocuments/u/G/SPS/NCHN1305.DOCX")</f>
      </c>
      <c r="Q1172" s="6">
        <f>HYPERLINK("https://docs.wto.org/imrd/directdoc.asp?DDFDocuments/v/G/SPS/NCHN1305.DOCX", "https://docs.wto.org/imrd/directdoc.asp?DDFDocuments/v/G/SPS/NCHN1305.DOCX")</f>
      </c>
    </row>
    <row r="1173">
      <c r="A1173" s="6" t="s">
        <v>70</v>
      </c>
      <c r="B1173" s="7">
        <v>45484</v>
      </c>
      <c r="C1173" s="6">
        <f>HYPERLINK("https://eping.wto.org/en/Search?viewData= G/TBT/N/UKR/287/Add.1"," G/TBT/N/UKR/287/Add.1")</f>
      </c>
      <c r="D1173" s="8" t="s">
        <v>4068</v>
      </c>
      <c r="E1173" s="8" t="s">
        <v>4069</v>
      </c>
      <c r="F1173" s="8" t="s">
        <v>4070</v>
      </c>
      <c r="G1173" s="6" t="s">
        <v>40</v>
      </c>
      <c r="H1173" s="6" t="s">
        <v>4071</v>
      </c>
      <c r="I1173" s="6" t="s">
        <v>1829</v>
      </c>
      <c r="J1173" s="6" t="s">
        <v>40</v>
      </c>
      <c r="K1173" s="6"/>
      <c r="L1173" s="7" t="s">
        <v>40</v>
      </c>
      <c r="M1173" s="6" t="s">
        <v>76</v>
      </c>
      <c r="N1173" s="8" t="s">
        <v>4072</v>
      </c>
      <c r="O1173" s="6">
        <f>HYPERLINK("https://docs.wto.org/imrd/directdoc.asp?DDFDocuments/t/G/TBTN24/UKR287A1.DOCX", "https://docs.wto.org/imrd/directdoc.asp?DDFDocuments/t/G/TBTN24/UKR287A1.DOCX")</f>
      </c>
      <c r="P1173" s="6">
        <f>HYPERLINK("https://docs.wto.org/imrd/directdoc.asp?DDFDocuments/u/G/TBTN24/UKR287A1.DOCX", "https://docs.wto.org/imrd/directdoc.asp?DDFDocuments/u/G/TBTN24/UKR287A1.DOCX")</f>
      </c>
      <c r="Q1173" s="6">
        <f>HYPERLINK("https://docs.wto.org/imrd/directdoc.asp?DDFDocuments/v/G/TBTN24/UKR287A1.DOCX", "https://docs.wto.org/imrd/directdoc.asp?DDFDocuments/v/G/TBTN24/UKR287A1.DOCX")</f>
      </c>
    </row>
    <row r="1174">
      <c r="A1174" s="6" t="s">
        <v>4073</v>
      </c>
      <c r="B1174" s="7">
        <v>45484</v>
      </c>
      <c r="C1174" s="6">
        <f>HYPERLINK("https://eping.wto.org/en/Search?viewData= G/TBT/N/SWE/157"," G/TBT/N/SWE/157")</f>
      </c>
      <c r="D1174" s="8" t="s">
        <v>4074</v>
      </c>
      <c r="E1174" s="8" t="s">
        <v>4075</v>
      </c>
      <c r="F1174" s="8" t="s">
        <v>4076</v>
      </c>
      <c r="G1174" s="6" t="s">
        <v>4077</v>
      </c>
      <c r="H1174" s="6" t="s">
        <v>3158</v>
      </c>
      <c r="I1174" s="6" t="s">
        <v>2834</v>
      </c>
      <c r="J1174" s="6" t="s">
        <v>95</v>
      </c>
      <c r="K1174" s="6"/>
      <c r="L1174" s="7">
        <v>45544</v>
      </c>
      <c r="M1174" s="6" t="s">
        <v>25</v>
      </c>
      <c r="N1174" s="8" t="s">
        <v>4078</v>
      </c>
      <c r="O1174" s="6">
        <f>HYPERLINK("https://docs.wto.org/imrd/directdoc.asp?DDFDocuments/t/G/TBTN24/SWE157.DOCX", "https://docs.wto.org/imrd/directdoc.asp?DDFDocuments/t/G/TBTN24/SWE157.DOCX")</f>
      </c>
      <c r="P1174" s="6">
        <f>HYPERLINK("https://docs.wto.org/imrd/directdoc.asp?DDFDocuments/u/G/TBTN24/SWE157.DOCX", "https://docs.wto.org/imrd/directdoc.asp?DDFDocuments/u/G/TBTN24/SWE157.DOCX")</f>
      </c>
      <c r="Q1174" s="6">
        <f>HYPERLINK("https://docs.wto.org/imrd/directdoc.asp?DDFDocuments/v/G/TBTN24/SWE157.DOCX", "https://docs.wto.org/imrd/directdoc.asp?DDFDocuments/v/G/TBTN24/SWE157.DOCX")</f>
      </c>
    </row>
    <row r="1175">
      <c r="A1175" s="6" t="s">
        <v>392</v>
      </c>
      <c r="B1175" s="7">
        <v>45483</v>
      </c>
      <c r="C1175" s="6">
        <f>HYPERLINK("https://eping.wto.org/en/Search?viewData= G/TBT/N/SAU/1035/Rev.2"," G/TBT/N/SAU/1035/Rev.2")</f>
      </c>
      <c r="D1175" s="8" t="s">
        <v>4079</v>
      </c>
      <c r="E1175" s="8" t="s">
        <v>4080</v>
      </c>
      <c r="F1175" s="8" t="s">
        <v>4081</v>
      </c>
      <c r="G1175" s="6" t="s">
        <v>4082</v>
      </c>
      <c r="H1175" s="6" t="s">
        <v>4083</v>
      </c>
      <c r="I1175" s="6" t="s">
        <v>4084</v>
      </c>
      <c r="J1175" s="6" t="s">
        <v>40</v>
      </c>
      <c r="K1175" s="6"/>
      <c r="L1175" s="7">
        <v>45543</v>
      </c>
      <c r="M1175" s="6" t="s">
        <v>214</v>
      </c>
      <c r="N1175" s="8" t="s">
        <v>4085</v>
      </c>
      <c r="O1175" s="6">
        <f>HYPERLINK("https://docs.wto.org/imrd/directdoc.asp?DDFDocuments/t/G/TBTN17/SAU1035R2.DOCX", "https://docs.wto.org/imrd/directdoc.asp?DDFDocuments/t/G/TBTN17/SAU1035R2.DOCX")</f>
      </c>
      <c r="P1175" s="6">
        <f>HYPERLINK("https://docs.wto.org/imrd/directdoc.asp?DDFDocuments/u/G/TBTN17/SAU1035R2.DOCX", "https://docs.wto.org/imrd/directdoc.asp?DDFDocuments/u/G/TBTN17/SAU1035R2.DOCX")</f>
      </c>
      <c r="Q1175" s="6">
        <f>HYPERLINK("https://docs.wto.org/imrd/directdoc.asp?DDFDocuments/v/G/TBTN17/SAU1035R2.DOCX", "https://docs.wto.org/imrd/directdoc.asp?DDFDocuments/v/G/TBTN17/SAU1035R2.DOCX")</f>
      </c>
    </row>
    <row r="1176">
      <c r="A1176" s="6" t="s">
        <v>419</v>
      </c>
      <c r="B1176" s="7">
        <v>45483</v>
      </c>
      <c r="C1176" s="6">
        <f>HYPERLINK("https://eping.wto.org/en/Search?viewData= G/TBT/N/JPN/789/Add.1"," G/TBT/N/JPN/789/Add.1")</f>
      </c>
      <c r="D1176" s="8" t="s">
        <v>4086</v>
      </c>
      <c r="E1176" s="8" t="s">
        <v>4087</v>
      </c>
      <c r="F1176" s="8" t="s">
        <v>4088</v>
      </c>
      <c r="G1176" s="6" t="s">
        <v>40</v>
      </c>
      <c r="H1176" s="6" t="s">
        <v>1604</v>
      </c>
      <c r="I1176" s="6" t="s">
        <v>142</v>
      </c>
      <c r="J1176" s="6" t="s">
        <v>40</v>
      </c>
      <c r="K1176" s="6"/>
      <c r="L1176" s="7" t="s">
        <v>40</v>
      </c>
      <c r="M1176" s="6" t="s">
        <v>76</v>
      </c>
      <c r="N1176" s="8" t="s">
        <v>4089</v>
      </c>
      <c r="O1176" s="6">
        <f>HYPERLINK("https://docs.wto.org/imrd/directdoc.asp?DDFDocuments/t/G/TBTN23/JPN789A1.DOCX", "https://docs.wto.org/imrd/directdoc.asp?DDFDocuments/t/G/TBTN23/JPN789A1.DOCX")</f>
      </c>
      <c r="P1176" s="6">
        <f>HYPERLINK("https://docs.wto.org/imrd/directdoc.asp?DDFDocuments/u/G/TBTN23/JPN789A1.DOCX", "https://docs.wto.org/imrd/directdoc.asp?DDFDocuments/u/G/TBTN23/JPN789A1.DOCX")</f>
      </c>
      <c r="Q1176" s="6">
        <f>HYPERLINK("https://docs.wto.org/imrd/directdoc.asp?DDFDocuments/v/G/TBTN23/JPN789A1.DOCX", "https://docs.wto.org/imrd/directdoc.asp?DDFDocuments/v/G/TBTN23/JPN789A1.DOCX")</f>
      </c>
    </row>
    <row r="1177">
      <c r="A1177" s="6" t="s">
        <v>160</v>
      </c>
      <c r="B1177" s="7">
        <v>45483</v>
      </c>
      <c r="C1177" s="6">
        <f>HYPERLINK("https://eping.wto.org/en/Search?viewData= G/SPS/N/USA/3430/Add.1"," G/SPS/N/USA/3430/Add.1")</f>
      </c>
      <c r="D1177" s="8" t="s">
        <v>4090</v>
      </c>
      <c r="E1177" s="8" t="s">
        <v>4091</v>
      </c>
      <c r="F1177" s="8" t="s">
        <v>4092</v>
      </c>
      <c r="G1177" s="6" t="s">
        <v>4093</v>
      </c>
      <c r="H1177" s="6" t="s">
        <v>40</v>
      </c>
      <c r="I1177" s="6" t="s">
        <v>38</v>
      </c>
      <c r="J1177" s="6" t="s">
        <v>1387</v>
      </c>
      <c r="K1177" s="6"/>
      <c r="L1177" s="7" t="s">
        <v>40</v>
      </c>
      <c r="M1177" s="6" t="s">
        <v>76</v>
      </c>
      <c r="N1177" s="8" t="s">
        <v>4094</v>
      </c>
      <c r="O1177" s="6">
        <f>HYPERLINK("https://docs.wto.org/imrd/directdoc.asp?DDFDocuments/t/G/SPS/NUSA3430A1.DOCX", "https://docs.wto.org/imrd/directdoc.asp?DDFDocuments/t/G/SPS/NUSA3430A1.DOCX")</f>
      </c>
      <c r="P1177" s="6">
        <f>HYPERLINK("https://docs.wto.org/imrd/directdoc.asp?DDFDocuments/u/G/SPS/NUSA3430A1.DOCX", "https://docs.wto.org/imrd/directdoc.asp?DDFDocuments/u/G/SPS/NUSA3430A1.DOCX")</f>
      </c>
      <c r="Q1177" s="6">
        <f>HYPERLINK("https://docs.wto.org/imrd/directdoc.asp?DDFDocuments/v/G/SPS/NUSA3430A1.DOCX", "https://docs.wto.org/imrd/directdoc.asp?DDFDocuments/v/G/SPS/NUSA3430A1.DOCX")</f>
      </c>
    </row>
    <row r="1178">
      <c r="A1178" s="6" t="s">
        <v>442</v>
      </c>
      <c r="B1178" s="7">
        <v>45483</v>
      </c>
      <c r="C1178" s="6">
        <f>HYPERLINK("https://eping.wto.org/en/Search?viewData= G/TBT/N/MEX/532"," G/TBT/N/MEX/532")</f>
      </c>
      <c r="D1178" s="8" t="s">
        <v>4095</v>
      </c>
      <c r="E1178" s="8" t="s">
        <v>4096</v>
      </c>
      <c r="F1178" s="8" t="s">
        <v>4097</v>
      </c>
      <c r="G1178" s="6" t="s">
        <v>40</v>
      </c>
      <c r="H1178" s="6" t="s">
        <v>4098</v>
      </c>
      <c r="I1178" s="6" t="s">
        <v>165</v>
      </c>
      <c r="J1178" s="6" t="s">
        <v>40</v>
      </c>
      <c r="K1178" s="6"/>
      <c r="L1178" s="7">
        <v>45543</v>
      </c>
      <c r="M1178" s="6" t="s">
        <v>25</v>
      </c>
      <c r="N1178" s="8" t="s">
        <v>4099</v>
      </c>
      <c r="O1178" s="6">
        <f>HYPERLINK("https://docs.wto.org/imrd/directdoc.asp?DDFDocuments/t/G/TBTN24/MEX532.DOCX", "https://docs.wto.org/imrd/directdoc.asp?DDFDocuments/t/G/TBTN24/MEX532.DOCX")</f>
      </c>
      <c r="P1178" s="6">
        <f>HYPERLINK("https://docs.wto.org/imrd/directdoc.asp?DDFDocuments/u/G/TBTN24/MEX532.DOCX", "https://docs.wto.org/imrd/directdoc.asp?DDFDocuments/u/G/TBTN24/MEX532.DOCX")</f>
      </c>
      <c r="Q1178" s="6">
        <f>HYPERLINK("https://docs.wto.org/imrd/directdoc.asp?DDFDocuments/v/G/TBTN24/MEX532.DOCX", "https://docs.wto.org/imrd/directdoc.asp?DDFDocuments/v/G/TBTN24/MEX532.DOCX")</f>
      </c>
    </row>
    <row r="1179">
      <c r="A1179" s="6" t="s">
        <v>1688</v>
      </c>
      <c r="B1179" s="7">
        <v>45483</v>
      </c>
      <c r="C1179" s="6">
        <f>HYPERLINK("https://eping.wto.org/en/Search?viewData= G/TBT/N/THA/740"," G/TBT/N/THA/740")</f>
      </c>
      <c r="D1179" s="8" t="s">
        <v>4100</v>
      </c>
      <c r="E1179" s="8" t="s">
        <v>4101</v>
      </c>
      <c r="F1179" s="8" t="s">
        <v>4102</v>
      </c>
      <c r="G1179" s="6" t="s">
        <v>40</v>
      </c>
      <c r="H1179" s="6" t="s">
        <v>212</v>
      </c>
      <c r="I1179" s="6" t="s">
        <v>142</v>
      </c>
      <c r="J1179" s="6" t="s">
        <v>40</v>
      </c>
      <c r="K1179" s="6"/>
      <c r="L1179" s="7" t="s">
        <v>40</v>
      </c>
      <c r="M1179" s="6" t="s">
        <v>25</v>
      </c>
      <c r="N1179" s="8" t="s">
        <v>4103</v>
      </c>
      <c r="O1179" s="6">
        <f>HYPERLINK("https://docs.wto.org/imrd/directdoc.asp?DDFDocuments/t/G/TBTN24/THA470.DOCX", "https://docs.wto.org/imrd/directdoc.asp?DDFDocuments/t/G/TBTN24/THA470.DOCX")</f>
      </c>
      <c r="P1179" s="6">
        <f>HYPERLINK("https://docs.wto.org/imrd/directdoc.asp?DDFDocuments/u/G/TBTN24/THA470.DOCX", "https://docs.wto.org/imrd/directdoc.asp?DDFDocuments/u/G/TBTN24/THA470.DOCX")</f>
      </c>
      <c r="Q1179" s="6">
        <f>HYPERLINK("https://docs.wto.org/imrd/directdoc.asp?DDFDocuments/v/G/TBTN24/THA470.DOCX", "https://docs.wto.org/imrd/directdoc.asp?DDFDocuments/v/G/TBTN24/THA470.DOCX")</f>
      </c>
    </row>
    <row r="1180">
      <c r="A1180" s="6" t="s">
        <v>322</v>
      </c>
      <c r="B1180" s="7">
        <v>45483</v>
      </c>
      <c r="C1180" s="6">
        <f>HYPERLINK("https://eping.wto.org/en/Search?viewData= G/SPS/N/TPKM/623/Add.1"," G/SPS/N/TPKM/623/Add.1")</f>
      </c>
      <c r="D1180" s="8" t="s">
        <v>4104</v>
      </c>
      <c r="E1180" s="8" t="s">
        <v>4105</v>
      </c>
      <c r="F1180" s="8" t="s">
        <v>4106</v>
      </c>
      <c r="G1180" s="6" t="s">
        <v>4107</v>
      </c>
      <c r="H1180" s="6" t="s">
        <v>4108</v>
      </c>
      <c r="I1180" s="6" t="s">
        <v>184</v>
      </c>
      <c r="J1180" s="6" t="s">
        <v>4109</v>
      </c>
      <c r="K1180" s="6"/>
      <c r="L1180" s="7" t="s">
        <v>40</v>
      </c>
      <c r="M1180" s="6" t="s">
        <v>76</v>
      </c>
      <c r="N1180" s="6"/>
      <c r="O1180" s="6">
        <f>HYPERLINK("https://docs.wto.org/imrd/directdoc.asp?DDFDocuments/t/G/SPS/NTPKM623A1.DOCX", "https://docs.wto.org/imrd/directdoc.asp?DDFDocuments/t/G/SPS/NTPKM623A1.DOCX")</f>
      </c>
      <c r="P1180" s="6">
        <f>HYPERLINK("https://docs.wto.org/imrd/directdoc.asp?DDFDocuments/u/G/SPS/NTPKM623A1.DOCX", "https://docs.wto.org/imrd/directdoc.asp?DDFDocuments/u/G/SPS/NTPKM623A1.DOCX")</f>
      </c>
      <c r="Q1180" s="6">
        <f>HYPERLINK("https://docs.wto.org/imrd/directdoc.asp?DDFDocuments/v/G/SPS/NTPKM623A1.DOCX", "https://docs.wto.org/imrd/directdoc.asp?DDFDocuments/v/G/SPS/NTPKM623A1.DOCX")</f>
      </c>
    </row>
    <row r="1181">
      <c r="A1181" s="6" t="s">
        <v>1688</v>
      </c>
      <c r="B1181" s="7">
        <v>45483</v>
      </c>
      <c r="C1181" s="6">
        <f>HYPERLINK("https://eping.wto.org/en/Search?viewData= G/TBT/N/THA/744"," G/TBT/N/THA/744")</f>
      </c>
      <c r="D1181" s="8" t="s">
        <v>4110</v>
      </c>
      <c r="E1181" s="8" t="s">
        <v>4111</v>
      </c>
      <c r="F1181" s="8" t="s">
        <v>4009</v>
      </c>
      <c r="G1181" s="6" t="s">
        <v>40</v>
      </c>
      <c r="H1181" s="6" t="s">
        <v>40</v>
      </c>
      <c r="I1181" s="6" t="s">
        <v>280</v>
      </c>
      <c r="J1181" s="6" t="s">
        <v>95</v>
      </c>
      <c r="K1181" s="6"/>
      <c r="L1181" s="7">
        <v>45543</v>
      </c>
      <c r="M1181" s="6" t="s">
        <v>25</v>
      </c>
      <c r="N1181" s="8" t="s">
        <v>4112</v>
      </c>
      <c r="O1181" s="6">
        <f>HYPERLINK("https://docs.wto.org/imrd/directdoc.asp?DDFDocuments/t/G/TBTN24/THA744.DOCX", "https://docs.wto.org/imrd/directdoc.asp?DDFDocuments/t/G/TBTN24/THA744.DOCX")</f>
      </c>
      <c r="P1181" s="6">
        <f>HYPERLINK("https://docs.wto.org/imrd/directdoc.asp?DDFDocuments/u/G/TBTN24/THA744.DOCX", "https://docs.wto.org/imrd/directdoc.asp?DDFDocuments/u/G/TBTN24/THA744.DOCX")</f>
      </c>
      <c r="Q1181" s="6">
        <f>HYPERLINK("https://docs.wto.org/imrd/directdoc.asp?DDFDocuments/v/G/TBTN24/THA744.DOCX", "https://docs.wto.org/imrd/directdoc.asp?DDFDocuments/v/G/TBTN24/THA744.DOCX")</f>
      </c>
    </row>
    <row r="1182">
      <c r="A1182" s="6" t="s">
        <v>442</v>
      </c>
      <c r="B1182" s="7">
        <v>45483</v>
      </c>
      <c r="C1182" s="6">
        <f>HYPERLINK("https://eping.wto.org/en/Search?viewData= G/TBT/N/MEX/511/Add.1"," G/TBT/N/MEX/511/Add.1")</f>
      </c>
      <c r="D1182" s="8" t="s">
        <v>4113</v>
      </c>
      <c r="E1182" s="8" t="s">
        <v>4114</v>
      </c>
      <c r="F1182" s="8" t="s">
        <v>4115</v>
      </c>
      <c r="G1182" s="6" t="s">
        <v>40</v>
      </c>
      <c r="H1182" s="6" t="s">
        <v>4116</v>
      </c>
      <c r="I1182" s="6" t="s">
        <v>4117</v>
      </c>
      <c r="J1182" s="6" t="s">
        <v>4118</v>
      </c>
      <c r="K1182" s="6"/>
      <c r="L1182" s="7" t="s">
        <v>40</v>
      </c>
      <c r="M1182" s="6" t="s">
        <v>76</v>
      </c>
      <c r="N1182" s="8" t="s">
        <v>4119</v>
      </c>
      <c r="O1182" s="6">
        <f>HYPERLINK("https://docs.wto.org/imrd/directdoc.asp?DDFDocuments/t/G/TBTN22/MEX511A1.DOCX", "https://docs.wto.org/imrd/directdoc.asp?DDFDocuments/t/G/TBTN22/MEX511A1.DOCX")</f>
      </c>
      <c r="P1182" s="6">
        <f>HYPERLINK("https://docs.wto.org/imrd/directdoc.asp?DDFDocuments/u/G/TBTN22/MEX511A1.DOCX", "https://docs.wto.org/imrd/directdoc.asp?DDFDocuments/u/G/TBTN22/MEX511A1.DOCX")</f>
      </c>
      <c r="Q1182" s="6">
        <f>HYPERLINK("https://docs.wto.org/imrd/directdoc.asp?DDFDocuments/v/G/TBTN22/MEX511A1.DOCX", "https://docs.wto.org/imrd/directdoc.asp?DDFDocuments/v/G/TBTN22/MEX511A1.DOCX")</f>
      </c>
    </row>
    <row r="1183">
      <c r="A1183" s="6" t="s">
        <v>70</v>
      </c>
      <c r="B1183" s="7">
        <v>45483</v>
      </c>
      <c r="C1183" s="6">
        <f>HYPERLINK("https://eping.wto.org/en/Search?viewData= G/TBT/N/UKR/303"," G/TBT/N/UKR/303")</f>
      </c>
      <c r="D1183" s="8" t="s">
        <v>4120</v>
      </c>
      <c r="E1183" s="8" t="s">
        <v>4121</v>
      </c>
      <c r="F1183" s="8" t="s">
        <v>4122</v>
      </c>
      <c r="G1183" s="6" t="s">
        <v>40</v>
      </c>
      <c r="H1183" s="6" t="s">
        <v>212</v>
      </c>
      <c r="I1183" s="6" t="s">
        <v>1220</v>
      </c>
      <c r="J1183" s="6" t="s">
        <v>40</v>
      </c>
      <c r="K1183" s="6"/>
      <c r="L1183" s="7">
        <v>45543</v>
      </c>
      <c r="M1183" s="6" t="s">
        <v>25</v>
      </c>
      <c r="N1183" s="8" t="s">
        <v>4123</v>
      </c>
      <c r="O1183" s="6">
        <f>HYPERLINK("https://docs.wto.org/imrd/directdoc.asp?DDFDocuments/t/G/TBTN24/UKR303.DOCX", "https://docs.wto.org/imrd/directdoc.asp?DDFDocuments/t/G/TBTN24/UKR303.DOCX")</f>
      </c>
      <c r="P1183" s="6">
        <f>HYPERLINK("https://docs.wto.org/imrd/directdoc.asp?DDFDocuments/u/G/TBTN24/UKR303.DOCX", "https://docs.wto.org/imrd/directdoc.asp?DDFDocuments/u/G/TBTN24/UKR303.DOCX")</f>
      </c>
      <c r="Q1183" s="6">
        <f>HYPERLINK("https://docs.wto.org/imrd/directdoc.asp?DDFDocuments/v/G/TBTN24/UKR303.DOCX", "https://docs.wto.org/imrd/directdoc.asp?DDFDocuments/v/G/TBTN24/UKR303.DOCX")</f>
      </c>
    </row>
    <row r="1184">
      <c r="A1184" s="6" t="s">
        <v>17</v>
      </c>
      <c r="B1184" s="7">
        <v>45483</v>
      </c>
      <c r="C1184" s="6">
        <f>HYPERLINK("https://eping.wto.org/en/Search?viewData= G/TBT/N/BDI/361/Add.1, G/TBT/N/KEN/1441/Add.1, G/TBT/N/RWA/872/Add.1, G/TBT/N/TZA/975/Add.1, G/TBT/N/UGA/1777/Add.1"," G/TBT/N/BDI/361/Add.1, G/TBT/N/KEN/1441/Add.1, G/TBT/N/RWA/872/Add.1, G/TBT/N/TZA/975/Add.1, G/TBT/N/UGA/1777/Add.1")</f>
      </c>
      <c r="D1184" s="8" t="s">
        <v>4124</v>
      </c>
      <c r="E1184" s="8" t="s">
        <v>4125</v>
      </c>
      <c r="F1184" s="8" t="s">
        <v>4126</v>
      </c>
      <c r="G1184" s="6" t="s">
        <v>4127</v>
      </c>
      <c r="H1184" s="6" t="s">
        <v>4128</v>
      </c>
      <c r="I1184" s="6" t="s">
        <v>4129</v>
      </c>
      <c r="J1184" s="6" t="s">
        <v>40</v>
      </c>
      <c r="K1184" s="6"/>
      <c r="L1184" s="7" t="s">
        <v>40</v>
      </c>
      <c r="M1184" s="6" t="s">
        <v>76</v>
      </c>
      <c r="N1184" s="6"/>
      <c r="O1184" s="6">
        <f>HYPERLINK("https://docs.wto.org/imrd/directdoc.asp?DDFDocuments/t/G/TBTN23/BDI361A1.DOCX", "https://docs.wto.org/imrd/directdoc.asp?DDFDocuments/t/G/TBTN23/BDI361A1.DOCX")</f>
      </c>
      <c r="P1184" s="6">
        <f>HYPERLINK("https://docs.wto.org/imrd/directdoc.asp?DDFDocuments/u/G/TBTN23/BDI361A1.DOCX", "https://docs.wto.org/imrd/directdoc.asp?DDFDocuments/u/G/TBTN23/BDI361A1.DOCX")</f>
      </c>
      <c r="Q1184" s="6">
        <f>HYPERLINK("https://docs.wto.org/imrd/directdoc.asp?DDFDocuments/v/G/TBTN23/BDI361A1.DOCX", "https://docs.wto.org/imrd/directdoc.asp?DDFDocuments/v/G/TBTN23/BDI361A1.DOCX")</f>
      </c>
    </row>
    <row r="1185">
      <c r="A1185" s="6" t="s">
        <v>880</v>
      </c>
      <c r="B1185" s="7">
        <v>45483</v>
      </c>
      <c r="C1185" s="6">
        <f>HYPERLINK("https://eping.wto.org/en/Search?viewData= G/TBT/N/BDI/361/Add.1, G/TBT/N/KEN/1441/Add.1, G/TBT/N/RWA/872/Add.1, G/TBT/N/TZA/975/Add.1, G/TBT/N/UGA/1777/Add.1"," G/TBT/N/BDI/361/Add.1, G/TBT/N/KEN/1441/Add.1, G/TBT/N/RWA/872/Add.1, G/TBT/N/TZA/975/Add.1, G/TBT/N/UGA/1777/Add.1")</f>
      </c>
      <c r="D1185" s="8" t="s">
        <v>4124</v>
      </c>
      <c r="E1185" s="8" t="s">
        <v>4125</v>
      </c>
      <c r="F1185" s="8" t="s">
        <v>4126</v>
      </c>
      <c r="G1185" s="6" t="s">
        <v>4127</v>
      </c>
      <c r="H1185" s="6" t="s">
        <v>4128</v>
      </c>
      <c r="I1185" s="6" t="s">
        <v>4129</v>
      </c>
      <c r="J1185" s="6" t="s">
        <v>40</v>
      </c>
      <c r="K1185" s="6"/>
      <c r="L1185" s="7" t="s">
        <v>40</v>
      </c>
      <c r="M1185" s="6" t="s">
        <v>76</v>
      </c>
      <c r="N1185" s="6"/>
      <c r="O1185" s="6">
        <f>HYPERLINK("https://docs.wto.org/imrd/directdoc.asp?DDFDocuments/t/G/TBTN23/BDI361A1.DOCX", "https://docs.wto.org/imrd/directdoc.asp?DDFDocuments/t/G/TBTN23/BDI361A1.DOCX")</f>
      </c>
      <c r="P1185" s="6">
        <f>HYPERLINK("https://docs.wto.org/imrd/directdoc.asp?DDFDocuments/u/G/TBTN23/BDI361A1.DOCX", "https://docs.wto.org/imrd/directdoc.asp?DDFDocuments/u/G/TBTN23/BDI361A1.DOCX")</f>
      </c>
      <c r="Q1185" s="6">
        <f>HYPERLINK("https://docs.wto.org/imrd/directdoc.asp?DDFDocuments/v/G/TBTN23/BDI361A1.DOCX", "https://docs.wto.org/imrd/directdoc.asp?DDFDocuments/v/G/TBTN23/BDI361A1.DOCX")</f>
      </c>
    </row>
    <row r="1186">
      <c r="A1186" s="6" t="s">
        <v>401</v>
      </c>
      <c r="B1186" s="7">
        <v>45483</v>
      </c>
      <c r="C1186" s="6">
        <f>HYPERLINK("https://eping.wto.org/en/Search?viewData= G/TBT/N/KOR/1219"," G/TBT/N/KOR/1219")</f>
      </c>
      <c r="D1186" s="8" t="s">
        <v>954</v>
      </c>
      <c r="E1186" s="8" t="s">
        <v>4130</v>
      </c>
      <c r="F1186" s="8" t="s">
        <v>956</v>
      </c>
      <c r="G1186" s="6" t="s">
        <v>40</v>
      </c>
      <c r="H1186" s="6" t="s">
        <v>93</v>
      </c>
      <c r="I1186" s="6" t="s">
        <v>4131</v>
      </c>
      <c r="J1186" s="6" t="s">
        <v>95</v>
      </c>
      <c r="K1186" s="6"/>
      <c r="L1186" s="7">
        <v>45543</v>
      </c>
      <c r="M1186" s="6" t="s">
        <v>25</v>
      </c>
      <c r="N1186" s="8" t="s">
        <v>4132</v>
      </c>
      <c r="O1186" s="6">
        <f>HYPERLINK("https://docs.wto.org/imrd/directdoc.asp?DDFDocuments/t/G/TBTN24/KOR1219.DOCX", "https://docs.wto.org/imrd/directdoc.asp?DDFDocuments/t/G/TBTN24/KOR1219.DOCX")</f>
      </c>
      <c r="P1186" s="6">
        <f>HYPERLINK("https://docs.wto.org/imrd/directdoc.asp?DDFDocuments/u/G/TBTN24/KOR1219.DOCX", "https://docs.wto.org/imrd/directdoc.asp?DDFDocuments/u/G/TBTN24/KOR1219.DOCX")</f>
      </c>
      <c r="Q1186" s="6">
        <f>HYPERLINK("https://docs.wto.org/imrd/directdoc.asp?DDFDocuments/v/G/TBTN24/KOR1219.DOCX", "https://docs.wto.org/imrd/directdoc.asp?DDFDocuments/v/G/TBTN24/KOR1219.DOCX")</f>
      </c>
    </row>
    <row r="1187">
      <c r="A1187" s="6" t="s">
        <v>160</v>
      </c>
      <c r="B1187" s="7">
        <v>45483</v>
      </c>
      <c r="C1187" s="6">
        <f>HYPERLINK("https://eping.wto.org/en/Search?viewData= G/TBT/N/USA/1995/Add.2/Corr.2"," G/TBT/N/USA/1995/Add.2/Corr.2")</f>
      </c>
      <c r="D1187" s="8" t="s">
        <v>4133</v>
      </c>
      <c r="E1187" s="8" t="s">
        <v>4134</v>
      </c>
      <c r="F1187" s="8" t="s">
        <v>222</v>
      </c>
      <c r="G1187" s="6" t="s">
        <v>40</v>
      </c>
      <c r="H1187" s="6" t="s">
        <v>223</v>
      </c>
      <c r="I1187" s="6" t="s">
        <v>165</v>
      </c>
      <c r="J1187" s="6" t="s">
        <v>40</v>
      </c>
      <c r="K1187" s="6"/>
      <c r="L1187" s="7" t="s">
        <v>40</v>
      </c>
      <c r="M1187" s="6" t="s">
        <v>224</v>
      </c>
      <c r="N1187" s="8" t="s">
        <v>4135</v>
      </c>
      <c r="O1187" s="6">
        <f>HYPERLINK("https://docs.wto.org/imrd/directdoc.asp?DDFDocuments/t/G/TBTN23/USA1995A2C2.DOCX", "https://docs.wto.org/imrd/directdoc.asp?DDFDocuments/t/G/TBTN23/USA1995A2C2.DOCX")</f>
      </c>
      <c r="P1187" s="6">
        <f>HYPERLINK("https://docs.wto.org/imrd/directdoc.asp?DDFDocuments/u/G/TBTN23/USA1995A2C2.DOCX", "https://docs.wto.org/imrd/directdoc.asp?DDFDocuments/u/G/TBTN23/USA1995A2C2.DOCX")</f>
      </c>
      <c r="Q1187" s="6">
        <f>HYPERLINK("https://docs.wto.org/imrd/directdoc.asp?DDFDocuments/v/G/TBTN23/USA1995A2C2.DOCX", "https://docs.wto.org/imrd/directdoc.asp?DDFDocuments/v/G/TBTN23/USA1995A2C2.DOCX")</f>
      </c>
    </row>
    <row r="1188">
      <c r="A1188" s="6" t="s">
        <v>343</v>
      </c>
      <c r="B1188" s="7">
        <v>45483</v>
      </c>
      <c r="C1188" s="6">
        <f>HYPERLINK("https://eping.wto.org/en/Search?viewData= G/SPS/N/ARE/282, G/SPS/N/BHR/239, G/SPS/N/KWT/146, G/SPS/N/OMN/134, G/SPS/N/QAT/138, G/SPS/N/SAU/535, G/SPS/N/YEM/79"," G/SPS/N/ARE/282, G/SPS/N/BHR/239, G/SPS/N/KWT/146, G/SPS/N/OMN/134, G/SPS/N/QAT/138, G/SPS/N/SAU/535, G/SPS/N/YEM/79")</f>
      </c>
      <c r="D1188" s="8" t="s">
        <v>4136</v>
      </c>
      <c r="E1188" s="8" t="s">
        <v>4137</v>
      </c>
      <c r="F1188" s="8" t="s">
        <v>4138</v>
      </c>
      <c r="G1188" s="6" t="s">
        <v>40</v>
      </c>
      <c r="H1188" s="6" t="s">
        <v>336</v>
      </c>
      <c r="I1188" s="6" t="s">
        <v>38</v>
      </c>
      <c r="J1188" s="6" t="s">
        <v>39</v>
      </c>
      <c r="K1188" s="6" t="s">
        <v>40</v>
      </c>
      <c r="L1188" s="7">
        <v>45543</v>
      </c>
      <c r="M1188" s="6" t="s">
        <v>25</v>
      </c>
      <c r="N1188" s="8" t="s">
        <v>4139</v>
      </c>
      <c r="O1188" s="6">
        <f>HYPERLINK("https://docs.wto.org/imrd/directdoc.asp?DDFDocuments/t/G/SPS/NARE282.DOCX", "https://docs.wto.org/imrd/directdoc.asp?DDFDocuments/t/G/SPS/NARE282.DOCX")</f>
      </c>
      <c r="P1188" s="6">
        <f>HYPERLINK("https://docs.wto.org/imrd/directdoc.asp?DDFDocuments/u/G/SPS/NARE282.DOCX", "https://docs.wto.org/imrd/directdoc.asp?DDFDocuments/u/G/SPS/NARE282.DOCX")</f>
      </c>
      <c r="Q1188" s="6">
        <f>HYPERLINK("https://docs.wto.org/imrd/directdoc.asp?DDFDocuments/v/G/SPS/NARE282.DOCX", "https://docs.wto.org/imrd/directdoc.asp?DDFDocuments/v/G/SPS/NARE282.DOCX")</f>
      </c>
    </row>
    <row r="1189">
      <c r="A1189" s="6" t="s">
        <v>160</v>
      </c>
      <c r="B1189" s="7">
        <v>45483</v>
      </c>
      <c r="C1189" s="6">
        <f>HYPERLINK("https://eping.wto.org/en/Search?viewData= G/TBT/N/USA/1995/Add.2/Corr.1"," G/TBT/N/USA/1995/Add.2/Corr.1")</f>
      </c>
      <c r="D1189" s="8" t="s">
        <v>4140</v>
      </c>
      <c r="E1189" s="8" t="s">
        <v>4141</v>
      </c>
      <c r="F1189" s="8" t="s">
        <v>222</v>
      </c>
      <c r="G1189" s="6" t="s">
        <v>40</v>
      </c>
      <c r="H1189" s="6" t="s">
        <v>223</v>
      </c>
      <c r="I1189" s="6" t="s">
        <v>165</v>
      </c>
      <c r="J1189" s="6" t="s">
        <v>40</v>
      </c>
      <c r="K1189" s="6"/>
      <c r="L1189" s="7" t="s">
        <v>40</v>
      </c>
      <c r="M1189" s="6" t="s">
        <v>224</v>
      </c>
      <c r="N1189" s="8" t="s">
        <v>4142</v>
      </c>
      <c r="O1189" s="6">
        <f>HYPERLINK("https://docs.wto.org/imrd/directdoc.asp?DDFDocuments/t/G/TBTN23/USA1995A2C1.DOCX", "https://docs.wto.org/imrd/directdoc.asp?DDFDocuments/t/G/TBTN23/USA1995A2C1.DOCX")</f>
      </c>
      <c r="P1189" s="6">
        <f>HYPERLINK("https://docs.wto.org/imrd/directdoc.asp?DDFDocuments/u/G/TBTN23/USA1995A2C1.DOCX", "https://docs.wto.org/imrd/directdoc.asp?DDFDocuments/u/G/TBTN23/USA1995A2C1.DOCX")</f>
      </c>
      <c r="Q1189" s="6">
        <f>HYPERLINK("https://docs.wto.org/imrd/directdoc.asp?DDFDocuments/v/G/TBTN23/USA1995A2C1.DOCX", "https://docs.wto.org/imrd/directdoc.asp?DDFDocuments/v/G/TBTN23/USA1995A2C1.DOCX")</f>
      </c>
    </row>
    <row r="1190">
      <c r="A1190" s="6" t="s">
        <v>322</v>
      </c>
      <c r="B1190" s="7">
        <v>45483</v>
      </c>
      <c r="C1190" s="6">
        <f>HYPERLINK("https://eping.wto.org/en/Search?viewData= G/TBT/N/TPKM/533/Add.1"," G/TBT/N/TPKM/533/Add.1")</f>
      </c>
      <c r="D1190" s="8" t="s">
        <v>4143</v>
      </c>
      <c r="E1190" s="8" t="s">
        <v>4144</v>
      </c>
      <c r="F1190" s="8" t="s">
        <v>4145</v>
      </c>
      <c r="G1190" s="6" t="s">
        <v>1946</v>
      </c>
      <c r="H1190" s="6" t="s">
        <v>1947</v>
      </c>
      <c r="I1190" s="6" t="s">
        <v>75</v>
      </c>
      <c r="J1190" s="6" t="s">
        <v>4118</v>
      </c>
      <c r="K1190" s="6"/>
      <c r="L1190" s="7" t="s">
        <v>40</v>
      </c>
      <c r="M1190" s="6" t="s">
        <v>76</v>
      </c>
      <c r="N1190" s="8" t="s">
        <v>4146</v>
      </c>
      <c r="O1190" s="6">
        <f>HYPERLINK("https://docs.wto.org/imrd/directdoc.asp?DDFDocuments/t/G/TBTN23/TPKM533A1.DOCX", "https://docs.wto.org/imrd/directdoc.asp?DDFDocuments/t/G/TBTN23/TPKM533A1.DOCX")</f>
      </c>
      <c r="P1190" s="6">
        <f>HYPERLINK("https://docs.wto.org/imrd/directdoc.asp?DDFDocuments/u/G/TBTN23/TPKM533A1.DOCX", "https://docs.wto.org/imrd/directdoc.asp?DDFDocuments/u/G/TBTN23/TPKM533A1.DOCX")</f>
      </c>
      <c r="Q1190" s="6">
        <f>HYPERLINK("https://docs.wto.org/imrd/directdoc.asp?DDFDocuments/v/G/TBTN23/TPKM533A1.DOCX", "https://docs.wto.org/imrd/directdoc.asp?DDFDocuments/v/G/TBTN23/TPKM533A1.DOCX")</f>
      </c>
    </row>
    <row r="1191">
      <c r="A1191" s="6" t="s">
        <v>115</v>
      </c>
      <c r="B1191" s="7">
        <v>45483</v>
      </c>
      <c r="C1191" s="6">
        <f>HYPERLINK("https://eping.wto.org/en/Search?viewData= G/TBT/N/BRA/647/Add.4"," G/TBT/N/BRA/647/Add.4")</f>
      </c>
      <c r="D1191" s="8" t="s">
        <v>4147</v>
      </c>
      <c r="E1191" s="8" t="s">
        <v>4148</v>
      </c>
      <c r="F1191" s="8" t="s">
        <v>4149</v>
      </c>
      <c r="G1191" s="6" t="s">
        <v>4150</v>
      </c>
      <c r="H1191" s="6" t="s">
        <v>3468</v>
      </c>
      <c r="I1191" s="6" t="s">
        <v>134</v>
      </c>
      <c r="J1191" s="6" t="s">
        <v>40</v>
      </c>
      <c r="K1191" s="6"/>
      <c r="L1191" s="7" t="s">
        <v>40</v>
      </c>
      <c r="M1191" s="6" t="s">
        <v>76</v>
      </c>
      <c r="N1191" s="8" t="s">
        <v>3887</v>
      </c>
      <c r="O1191" s="6">
        <f>HYPERLINK("https://docs.wto.org/imrd/directdoc.asp?DDFDocuments/t/G/TBTN15/BRA647A4.DOCX", "https://docs.wto.org/imrd/directdoc.asp?DDFDocuments/t/G/TBTN15/BRA647A4.DOCX")</f>
      </c>
      <c r="P1191" s="6">
        <f>HYPERLINK("https://docs.wto.org/imrd/directdoc.asp?DDFDocuments/u/G/TBTN15/BRA647A4.DOCX", "https://docs.wto.org/imrd/directdoc.asp?DDFDocuments/u/G/TBTN15/BRA647A4.DOCX")</f>
      </c>
      <c r="Q1191" s="6">
        <f>HYPERLINK("https://docs.wto.org/imrd/directdoc.asp?DDFDocuments/v/G/TBTN15/BRA647A4.DOCX", "https://docs.wto.org/imrd/directdoc.asp?DDFDocuments/v/G/TBTN15/BRA647A4.DOCX")</f>
      </c>
    </row>
    <row r="1192">
      <c r="A1192" s="6" t="s">
        <v>392</v>
      </c>
      <c r="B1192" s="7">
        <v>45483</v>
      </c>
      <c r="C1192" s="6">
        <f>HYPERLINK("https://eping.wto.org/en/Search?viewData= G/SPS/N/ARE/283, G/SPS/N/BHR/240, G/SPS/N/KWT/147, G/SPS/N/OMN/135, G/SPS/N/QAT/139, G/SPS/N/SAU/536, G/SPS/N/YEM/80"," G/SPS/N/ARE/283, G/SPS/N/BHR/240, G/SPS/N/KWT/147, G/SPS/N/OMN/135, G/SPS/N/QAT/139, G/SPS/N/SAU/536, G/SPS/N/YEM/80")</f>
      </c>
      <c r="D1192" s="8" t="s">
        <v>4151</v>
      </c>
      <c r="E1192" s="8" t="s">
        <v>4152</v>
      </c>
      <c r="F1192" s="8" t="s">
        <v>4153</v>
      </c>
      <c r="G1192" s="6" t="s">
        <v>3851</v>
      </c>
      <c r="H1192" s="6" t="s">
        <v>1104</v>
      </c>
      <c r="I1192" s="6" t="s">
        <v>38</v>
      </c>
      <c r="J1192" s="6" t="s">
        <v>60</v>
      </c>
      <c r="K1192" s="6" t="s">
        <v>40</v>
      </c>
      <c r="L1192" s="7">
        <v>45543</v>
      </c>
      <c r="M1192" s="6" t="s">
        <v>25</v>
      </c>
      <c r="N1192" s="8" t="s">
        <v>4154</v>
      </c>
      <c r="O1192" s="6">
        <f>HYPERLINK("https://docs.wto.org/imrd/directdoc.asp?DDFDocuments/t/G/SPS/NARE283.DOCX", "https://docs.wto.org/imrd/directdoc.asp?DDFDocuments/t/G/SPS/NARE283.DOCX")</f>
      </c>
      <c r="P1192" s="6">
        <f>HYPERLINK("https://docs.wto.org/imrd/directdoc.asp?DDFDocuments/u/G/SPS/NARE283.DOCX", "https://docs.wto.org/imrd/directdoc.asp?DDFDocuments/u/G/SPS/NARE283.DOCX")</f>
      </c>
      <c r="Q1192" s="6">
        <f>HYPERLINK("https://docs.wto.org/imrd/directdoc.asp?DDFDocuments/v/G/SPS/NARE283.DOCX", "https://docs.wto.org/imrd/directdoc.asp?DDFDocuments/v/G/SPS/NARE283.DOCX")</f>
      </c>
    </row>
    <row r="1193">
      <c r="A1193" s="6" t="s">
        <v>393</v>
      </c>
      <c r="B1193" s="7">
        <v>45483</v>
      </c>
      <c r="C1193" s="6">
        <f>HYPERLINK("https://eping.wto.org/en/Search?viewData= G/SPS/N/ARE/283, G/SPS/N/BHR/240, G/SPS/N/KWT/147, G/SPS/N/OMN/135, G/SPS/N/QAT/139, G/SPS/N/SAU/536, G/SPS/N/YEM/80"," G/SPS/N/ARE/283, G/SPS/N/BHR/240, G/SPS/N/KWT/147, G/SPS/N/OMN/135, G/SPS/N/QAT/139, G/SPS/N/SAU/536, G/SPS/N/YEM/80")</f>
      </c>
      <c r="D1193" s="8" t="s">
        <v>4151</v>
      </c>
      <c r="E1193" s="8" t="s">
        <v>4152</v>
      </c>
      <c r="F1193" s="8" t="s">
        <v>4153</v>
      </c>
      <c r="G1193" s="6" t="s">
        <v>3851</v>
      </c>
      <c r="H1193" s="6" t="s">
        <v>1104</v>
      </c>
      <c r="I1193" s="6" t="s">
        <v>38</v>
      </c>
      <c r="J1193" s="6" t="s">
        <v>60</v>
      </c>
      <c r="K1193" s="6" t="s">
        <v>40</v>
      </c>
      <c r="L1193" s="7">
        <v>45543</v>
      </c>
      <c r="M1193" s="6" t="s">
        <v>25</v>
      </c>
      <c r="N1193" s="8" t="s">
        <v>4154</v>
      </c>
      <c r="O1193" s="6">
        <f>HYPERLINK("https://docs.wto.org/imrd/directdoc.asp?DDFDocuments/t/G/SPS/NARE283.DOCX", "https://docs.wto.org/imrd/directdoc.asp?DDFDocuments/t/G/SPS/NARE283.DOCX")</f>
      </c>
      <c r="P1193" s="6">
        <f>HYPERLINK("https://docs.wto.org/imrd/directdoc.asp?DDFDocuments/u/G/SPS/NARE283.DOCX", "https://docs.wto.org/imrd/directdoc.asp?DDFDocuments/u/G/SPS/NARE283.DOCX")</f>
      </c>
      <c r="Q1193" s="6">
        <f>HYPERLINK("https://docs.wto.org/imrd/directdoc.asp?DDFDocuments/v/G/SPS/NARE283.DOCX", "https://docs.wto.org/imrd/directdoc.asp?DDFDocuments/v/G/SPS/NARE283.DOCX")</f>
      </c>
    </row>
    <row r="1194">
      <c r="A1194" s="6" t="s">
        <v>391</v>
      </c>
      <c r="B1194" s="7">
        <v>45483</v>
      </c>
      <c r="C1194" s="6">
        <f>HYPERLINK("https://eping.wto.org/en/Search?viewData= G/SPS/N/ARE/283, G/SPS/N/BHR/240, G/SPS/N/KWT/147, G/SPS/N/OMN/135, G/SPS/N/QAT/139, G/SPS/N/SAU/536, G/SPS/N/YEM/80"," G/SPS/N/ARE/283, G/SPS/N/BHR/240, G/SPS/N/KWT/147, G/SPS/N/OMN/135, G/SPS/N/QAT/139, G/SPS/N/SAU/536, G/SPS/N/YEM/80")</f>
      </c>
      <c r="D1194" s="8" t="s">
        <v>4151</v>
      </c>
      <c r="E1194" s="8" t="s">
        <v>4152</v>
      </c>
      <c r="F1194" s="8" t="s">
        <v>4153</v>
      </c>
      <c r="G1194" s="6" t="s">
        <v>3851</v>
      </c>
      <c r="H1194" s="6" t="s">
        <v>1104</v>
      </c>
      <c r="I1194" s="6" t="s">
        <v>38</v>
      </c>
      <c r="J1194" s="6" t="s">
        <v>39</v>
      </c>
      <c r="K1194" s="6" t="s">
        <v>40</v>
      </c>
      <c r="L1194" s="7">
        <v>45543</v>
      </c>
      <c r="M1194" s="6" t="s">
        <v>25</v>
      </c>
      <c r="N1194" s="8" t="s">
        <v>4154</v>
      </c>
      <c r="O1194" s="6">
        <f>HYPERLINK("https://docs.wto.org/imrd/directdoc.asp?DDFDocuments/t/G/SPS/NARE283.DOCX", "https://docs.wto.org/imrd/directdoc.asp?DDFDocuments/t/G/SPS/NARE283.DOCX")</f>
      </c>
      <c r="P1194" s="6">
        <f>HYPERLINK("https://docs.wto.org/imrd/directdoc.asp?DDFDocuments/u/G/SPS/NARE283.DOCX", "https://docs.wto.org/imrd/directdoc.asp?DDFDocuments/u/G/SPS/NARE283.DOCX")</f>
      </c>
      <c r="Q1194" s="6">
        <f>HYPERLINK("https://docs.wto.org/imrd/directdoc.asp?DDFDocuments/v/G/SPS/NARE283.DOCX", "https://docs.wto.org/imrd/directdoc.asp?DDFDocuments/v/G/SPS/NARE283.DOCX")</f>
      </c>
    </row>
    <row r="1195">
      <c r="A1195" s="6" t="s">
        <v>372</v>
      </c>
      <c r="B1195" s="7">
        <v>45483</v>
      </c>
      <c r="C1195" s="6">
        <f>HYPERLINK("https://eping.wto.org/en/Search?viewData= G/SPS/N/ARE/282, G/SPS/N/BHR/239, G/SPS/N/KWT/146, G/SPS/N/OMN/134, G/SPS/N/QAT/138, G/SPS/N/SAU/535, G/SPS/N/YEM/79"," G/SPS/N/ARE/282, G/SPS/N/BHR/239, G/SPS/N/KWT/146, G/SPS/N/OMN/134, G/SPS/N/QAT/138, G/SPS/N/SAU/535, G/SPS/N/YEM/79")</f>
      </c>
      <c r="D1195" s="8" t="s">
        <v>4136</v>
      </c>
      <c r="E1195" s="8" t="s">
        <v>4137</v>
      </c>
      <c r="F1195" s="8" t="s">
        <v>4138</v>
      </c>
      <c r="G1195" s="6" t="s">
        <v>40</v>
      </c>
      <c r="H1195" s="6" t="s">
        <v>336</v>
      </c>
      <c r="I1195" s="6" t="s">
        <v>38</v>
      </c>
      <c r="J1195" s="6" t="s">
        <v>39</v>
      </c>
      <c r="K1195" s="6" t="s">
        <v>40</v>
      </c>
      <c r="L1195" s="7">
        <v>45543</v>
      </c>
      <c r="M1195" s="6" t="s">
        <v>25</v>
      </c>
      <c r="N1195" s="8" t="s">
        <v>4139</v>
      </c>
      <c r="O1195" s="6">
        <f>HYPERLINK("https://docs.wto.org/imrd/directdoc.asp?DDFDocuments/t/G/SPS/NARE282.DOCX", "https://docs.wto.org/imrd/directdoc.asp?DDFDocuments/t/G/SPS/NARE282.DOCX")</f>
      </c>
      <c r="P1195" s="6">
        <f>HYPERLINK("https://docs.wto.org/imrd/directdoc.asp?DDFDocuments/u/G/SPS/NARE282.DOCX", "https://docs.wto.org/imrd/directdoc.asp?DDFDocuments/u/G/SPS/NARE282.DOCX")</f>
      </c>
      <c r="Q1195" s="6">
        <f>HYPERLINK("https://docs.wto.org/imrd/directdoc.asp?DDFDocuments/v/G/SPS/NARE282.DOCX", "https://docs.wto.org/imrd/directdoc.asp?DDFDocuments/v/G/SPS/NARE282.DOCX")</f>
      </c>
    </row>
    <row r="1196">
      <c r="A1196" s="6" t="s">
        <v>180</v>
      </c>
      <c r="B1196" s="7">
        <v>45483</v>
      </c>
      <c r="C1196" s="6">
        <f>HYPERLINK("https://eping.wto.org/en/Search?viewData= G/SPS/N/CRI/268/Add.1"," G/SPS/N/CRI/268/Add.1")</f>
      </c>
      <c r="D1196" s="8" t="s">
        <v>4155</v>
      </c>
      <c r="E1196" s="8" t="s">
        <v>4155</v>
      </c>
      <c r="F1196" s="8" t="s">
        <v>4156</v>
      </c>
      <c r="G1196" s="6" t="s">
        <v>40</v>
      </c>
      <c r="H1196" s="6" t="s">
        <v>40</v>
      </c>
      <c r="I1196" s="6" t="s">
        <v>184</v>
      </c>
      <c r="J1196" s="6" t="s">
        <v>527</v>
      </c>
      <c r="K1196" s="6"/>
      <c r="L1196" s="7" t="s">
        <v>40</v>
      </c>
      <c r="M1196" s="6" t="s">
        <v>76</v>
      </c>
      <c r="N1196" s="8" t="s">
        <v>4157</v>
      </c>
      <c r="O1196" s="6">
        <f>HYPERLINK("https://docs.wto.org/imrd/directdoc.asp?DDFDocuments/t/G/SPS/NCRI268A1.DOCX", "https://docs.wto.org/imrd/directdoc.asp?DDFDocuments/t/G/SPS/NCRI268A1.DOCX")</f>
      </c>
      <c r="P1196" s="6">
        <f>HYPERLINK("https://docs.wto.org/imrd/directdoc.asp?DDFDocuments/u/G/SPS/NCRI268A1.DOCX", "https://docs.wto.org/imrd/directdoc.asp?DDFDocuments/u/G/SPS/NCRI268A1.DOCX")</f>
      </c>
      <c r="Q1196" s="6">
        <f>HYPERLINK("https://docs.wto.org/imrd/directdoc.asp?DDFDocuments/v/G/SPS/NCRI268A1.DOCX", "https://docs.wto.org/imrd/directdoc.asp?DDFDocuments/v/G/SPS/NCRI268A1.DOCX")</f>
      </c>
    </row>
    <row r="1197">
      <c r="A1197" s="6" t="s">
        <v>160</v>
      </c>
      <c r="B1197" s="7">
        <v>45483</v>
      </c>
      <c r="C1197" s="6">
        <f>HYPERLINK("https://eping.wto.org/en/Search?viewData= G/TBT/N/USA/2001/Add.3/Corr.1"," G/TBT/N/USA/2001/Add.3/Corr.1")</f>
      </c>
      <c r="D1197" s="8" t="s">
        <v>4140</v>
      </c>
      <c r="E1197" s="8" t="s">
        <v>4158</v>
      </c>
      <c r="F1197" s="8" t="s">
        <v>4159</v>
      </c>
      <c r="G1197" s="6" t="s">
        <v>40</v>
      </c>
      <c r="H1197" s="6" t="s">
        <v>4160</v>
      </c>
      <c r="I1197" s="6" t="s">
        <v>165</v>
      </c>
      <c r="J1197" s="6" t="s">
        <v>40</v>
      </c>
      <c r="K1197" s="6"/>
      <c r="L1197" s="7" t="s">
        <v>40</v>
      </c>
      <c r="M1197" s="6" t="s">
        <v>224</v>
      </c>
      <c r="N1197" s="8" t="s">
        <v>4161</v>
      </c>
      <c r="O1197" s="6">
        <f>HYPERLINK("https://docs.wto.org/imrd/directdoc.asp?DDFDocuments/t/G/TBTN23/USA2001A3C1.DOCX", "https://docs.wto.org/imrd/directdoc.asp?DDFDocuments/t/G/TBTN23/USA2001A3C1.DOCX")</f>
      </c>
      <c r="P1197" s="6"/>
      <c r="Q1197" s="6"/>
    </row>
    <row r="1198">
      <c r="A1198" s="6" t="s">
        <v>401</v>
      </c>
      <c r="B1198" s="7">
        <v>45483</v>
      </c>
      <c r="C1198" s="6">
        <f>HYPERLINK("https://eping.wto.org/en/Search?viewData= G/TBT/N/KOR/1218"," G/TBT/N/KOR/1218")</f>
      </c>
      <c r="D1198" s="8" t="s">
        <v>4162</v>
      </c>
      <c r="E1198" s="8" t="s">
        <v>4163</v>
      </c>
      <c r="F1198" s="8" t="s">
        <v>956</v>
      </c>
      <c r="G1198" s="6" t="s">
        <v>40</v>
      </c>
      <c r="H1198" s="6" t="s">
        <v>93</v>
      </c>
      <c r="I1198" s="6" t="s">
        <v>1957</v>
      </c>
      <c r="J1198" s="6" t="s">
        <v>95</v>
      </c>
      <c r="K1198" s="6"/>
      <c r="L1198" s="7">
        <v>45543</v>
      </c>
      <c r="M1198" s="6" t="s">
        <v>25</v>
      </c>
      <c r="N1198" s="8" t="s">
        <v>4164</v>
      </c>
      <c r="O1198" s="6">
        <f>HYPERLINK("https://docs.wto.org/imrd/directdoc.asp?DDFDocuments/t/G/TBTN24/KOR1218.DOCX", "https://docs.wto.org/imrd/directdoc.asp?DDFDocuments/t/G/TBTN24/KOR1218.DOCX")</f>
      </c>
      <c r="P1198" s="6">
        <f>HYPERLINK("https://docs.wto.org/imrd/directdoc.asp?DDFDocuments/u/G/TBTN24/KOR1218.DOCX", "https://docs.wto.org/imrd/directdoc.asp?DDFDocuments/u/G/TBTN24/KOR1218.DOCX")</f>
      </c>
      <c r="Q1198" s="6">
        <f>HYPERLINK("https://docs.wto.org/imrd/directdoc.asp?DDFDocuments/v/G/TBTN24/KOR1218.DOCX", "https://docs.wto.org/imrd/directdoc.asp?DDFDocuments/v/G/TBTN24/KOR1218.DOCX")</f>
      </c>
    </row>
    <row r="1199">
      <c r="A1199" s="6" t="s">
        <v>115</v>
      </c>
      <c r="B1199" s="7">
        <v>45483</v>
      </c>
      <c r="C1199" s="6">
        <f>HYPERLINK("https://eping.wto.org/en/Search?viewData= G/TBT/N/BRA/1553"," G/TBT/N/BRA/1553")</f>
      </c>
      <c r="D1199" s="8" t="s">
        <v>4165</v>
      </c>
      <c r="E1199" s="8" t="s">
        <v>4166</v>
      </c>
      <c r="F1199" s="8" t="s">
        <v>3816</v>
      </c>
      <c r="G1199" s="6" t="s">
        <v>3236</v>
      </c>
      <c r="H1199" s="6" t="s">
        <v>3818</v>
      </c>
      <c r="I1199" s="6" t="s">
        <v>3819</v>
      </c>
      <c r="J1199" s="6" t="s">
        <v>40</v>
      </c>
      <c r="K1199" s="6"/>
      <c r="L1199" s="7" t="s">
        <v>40</v>
      </c>
      <c r="M1199" s="6" t="s">
        <v>25</v>
      </c>
      <c r="N1199" s="8" t="s">
        <v>4167</v>
      </c>
      <c r="O1199" s="6">
        <f>HYPERLINK("https://docs.wto.org/imrd/directdoc.asp?DDFDocuments/t/G/TBTN24/BRA1553.DOCX", "https://docs.wto.org/imrd/directdoc.asp?DDFDocuments/t/G/TBTN24/BRA1553.DOCX")</f>
      </c>
      <c r="P1199" s="6">
        <f>HYPERLINK("https://docs.wto.org/imrd/directdoc.asp?DDFDocuments/u/G/TBTN24/BRA1553.DOCX", "https://docs.wto.org/imrd/directdoc.asp?DDFDocuments/u/G/TBTN24/BRA1553.DOCX")</f>
      </c>
      <c r="Q1199" s="6">
        <f>HYPERLINK("https://docs.wto.org/imrd/directdoc.asp?DDFDocuments/v/G/TBTN24/BRA1553.DOCX", "https://docs.wto.org/imrd/directdoc.asp?DDFDocuments/v/G/TBTN24/BRA1553.DOCX")</f>
      </c>
    </row>
    <row r="1200">
      <c r="A1200" s="6" t="s">
        <v>392</v>
      </c>
      <c r="B1200" s="7">
        <v>45483</v>
      </c>
      <c r="C1200" s="6">
        <f>HYPERLINK("https://eping.wto.org/en/Search?viewData= G/SPS/N/ARE/282, G/SPS/N/BHR/239, G/SPS/N/KWT/146, G/SPS/N/OMN/134, G/SPS/N/QAT/138, G/SPS/N/SAU/535, G/SPS/N/YEM/79"," G/SPS/N/ARE/282, G/SPS/N/BHR/239, G/SPS/N/KWT/146, G/SPS/N/OMN/134, G/SPS/N/QAT/138, G/SPS/N/SAU/535, G/SPS/N/YEM/79")</f>
      </c>
      <c r="D1200" s="8" t="s">
        <v>4136</v>
      </c>
      <c r="E1200" s="8" t="s">
        <v>4137</v>
      </c>
      <c r="F1200" s="8" t="s">
        <v>4138</v>
      </c>
      <c r="G1200" s="6" t="s">
        <v>40</v>
      </c>
      <c r="H1200" s="6" t="s">
        <v>336</v>
      </c>
      <c r="I1200" s="6" t="s">
        <v>38</v>
      </c>
      <c r="J1200" s="6" t="s">
        <v>60</v>
      </c>
      <c r="K1200" s="6" t="s">
        <v>40</v>
      </c>
      <c r="L1200" s="7">
        <v>45543</v>
      </c>
      <c r="M1200" s="6" t="s">
        <v>25</v>
      </c>
      <c r="N1200" s="8" t="s">
        <v>4139</v>
      </c>
      <c r="O1200" s="6">
        <f>HYPERLINK("https://docs.wto.org/imrd/directdoc.asp?DDFDocuments/t/G/SPS/NARE282.DOCX", "https://docs.wto.org/imrd/directdoc.asp?DDFDocuments/t/G/SPS/NARE282.DOCX")</f>
      </c>
      <c r="P1200" s="6">
        <f>HYPERLINK("https://docs.wto.org/imrd/directdoc.asp?DDFDocuments/u/G/SPS/NARE282.DOCX", "https://docs.wto.org/imrd/directdoc.asp?DDFDocuments/u/G/SPS/NARE282.DOCX")</f>
      </c>
      <c r="Q1200" s="6">
        <f>HYPERLINK("https://docs.wto.org/imrd/directdoc.asp?DDFDocuments/v/G/SPS/NARE282.DOCX", "https://docs.wto.org/imrd/directdoc.asp?DDFDocuments/v/G/SPS/NARE282.DOCX")</f>
      </c>
    </row>
    <row r="1201">
      <c r="A1201" s="6" t="s">
        <v>344</v>
      </c>
      <c r="B1201" s="7">
        <v>45483</v>
      </c>
      <c r="C1201" s="6">
        <f>HYPERLINK("https://eping.wto.org/en/Search?viewData= G/SPS/N/ARE/282, G/SPS/N/BHR/239, G/SPS/N/KWT/146, G/SPS/N/OMN/134, G/SPS/N/QAT/138, G/SPS/N/SAU/535, G/SPS/N/YEM/79"," G/SPS/N/ARE/282, G/SPS/N/BHR/239, G/SPS/N/KWT/146, G/SPS/N/OMN/134, G/SPS/N/QAT/138, G/SPS/N/SAU/535, G/SPS/N/YEM/79")</f>
      </c>
      <c r="D1201" s="8" t="s">
        <v>4136</v>
      </c>
      <c r="E1201" s="8" t="s">
        <v>4137</v>
      </c>
      <c r="F1201" s="8" t="s">
        <v>4138</v>
      </c>
      <c r="G1201" s="6" t="s">
        <v>40</v>
      </c>
      <c r="H1201" s="6" t="s">
        <v>336</v>
      </c>
      <c r="I1201" s="6" t="s">
        <v>38</v>
      </c>
      <c r="J1201" s="6" t="s">
        <v>39</v>
      </c>
      <c r="K1201" s="6" t="s">
        <v>40</v>
      </c>
      <c r="L1201" s="7">
        <v>45543</v>
      </c>
      <c r="M1201" s="6" t="s">
        <v>25</v>
      </c>
      <c r="N1201" s="8" t="s">
        <v>4139</v>
      </c>
      <c r="O1201" s="6">
        <f>HYPERLINK("https://docs.wto.org/imrd/directdoc.asp?DDFDocuments/t/G/SPS/NARE282.DOCX", "https://docs.wto.org/imrd/directdoc.asp?DDFDocuments/t/G/SPS/NARE282.DOCX")</f>
      </c>
      <c r="P1201" s="6">
        <f>HYPERLINK("https://docs.wto.org/imrd/directdoc.asp?DDFDocuments/u/G/SPS/NARE282.DOCX", "https://docs.wto.org/imrd/directdoc.asp?DDFDocuments/u/G/SPS/NARE282.DOCX")</f>
      </c>
      <c r="Q1201" s="6">
        <f>HYPERLINK("https://docs.wto.org/imrd/directdoc.asp?DDFDocuments/v/G/SPS/NARE282.DOCX", "https://docs.wto.org/imrd/directdoc.asp?DDFDocuments/v/G/SPS/NARE282.DOCX")</f>
      </c>
    </row>
    <row r="1202">
      <c r="A1202" s="6" t="s">
        <v>2041</v>
      </c>
      <c r="B1202" s="7">
        <v>45483</v>
      </c>
      <c r="C1202" s="6">
        <f>HYPERLINK("https://eping.wto.org/en/Search?viewData= G/TBT/N/BDI/361/Add.1, G/TBT/N/KEN/1441/Add.1, G/TBT/N/RWA/872/Add.1, G/TBT/N/TZA/975/Add.1, G/TBT/N/UGA/1777/Add.1"," G/TBT/N/BDI/361/Add.1, G/TBT/N/KEN/1441/Add.1, G/TBT/N/RWA/872/Add.1, G/TBT/N/TZA/975/Add.1, G/TBT/N/UGA/1777/Add.1")</f>
      </c>
      <c r="D1202" s="8" t="s">
        <v>4124</v>
      </c>
      <c r="E1202" s="8" t="s">
        <v>4125</v>
      </c>
      <c r="F1202" s="8" t="s">
        <v>4126</v>
      </c>
      <c r="G1202" s="6" t="s">
        <v>4127</v>
      </c>
      <c r="H1202" s="6" t="s">
        <v>4128</v>
      </c>
      <c r="I1202" s="6" t="s">
        <v>4129</v>
      </c>
      <c r="J1202" s="6" t="s">
        <v>40</v>
      </c>
      <c r="K1202" s="6"/>
      <c r="L1202" s="7" t="s">
        <v>40</v>
      </c>
      <c r="M1202" s="6" t="s">
        <v>76</v>
      </c>
      <c r="N1202" s="6"/>
      <c r="O1202" s="6">
        <f>HYPERLINK("https://docs.wto.org/imrd/directdoc.asp?DDFDocuments/t/G/TBTN23/BDI361A1.DOCX", "https://docs.wto.org/imrd/directdoc.asp?DDFDocuments/t/G/TBTN23/BDI361A1.DOCX")</f>
      </c>
      <c r="P1202" s="6">
        <f>HYPERLINK("https://docs.wto.org/imrd/directdoc.asp?DDFDocuments/u/G/TBTN23/BDI361A1.DOCX", "https://docs.wto.org/imrd/directdoc.asp?DDFDocuments/u/G/TBTN23/BDI361A1.DOCX")</f>
      </c>
      <c r="Q1202" s="6">
        <f>HYPERLINK("https://docs.wto.org/imrd/directdoc.asp?DDFDocuments/v/G/TBTN23/BDI361A1.DOCX", "https://docs.wto.org/imrd/directdoc.asp?DDFDocuments/v/G/TBTN23/BDI361A1.DOCX")</f>
      </c>
    </row>
    <row r="1203">
      <c r="A1203" s="6" t="s">
        <v>307</v>
      </c>
      <c r="B1203" s="7">
        <v>45483</v>
      </c>
      <c r="C1203" s="6">
        <f>HYPERLINK("https://eping.wto.org/en/Search?viewData= G/TBT/N/CAN/715/Add.1"," G/TBT/N/CAN/715/Add.1")</f>
      </c>
      <c r="D1203" s="8" t="s">
        <v>4168</v>
      </c>
      <c r="E1203" s="8" t="s">
        <v>4169</v>
      </c>
      <c r="F1203" s="8" t="s">
        <v>1603</v>
      </c>
      <c r="G1203" s="6" t="s">
        <v>40</v>
      </c>
      <c r="H1203" s="6" t="s">
        <v>1604</v>
      </c>
      <c r="I1203" s="6" t="s">
        <v>142</v>
      </c>
      <c r="J1203" s="6" t="s">
        <v>40</v>
      </c>
      <c r="K1203" s="6"/>
      <c r="L1203" s="7" t="s">
        <v>40</v>
      </c>
      <c r="M1203" s="6" t="s">
        <v>76</v>
      </c>
      <c r="N1203" s="6"/>
      <c r="O1203" s="6">
        <f>HYPERLINK("https://docs.wto.org/imrd/directdoc.asp?DDFDocuments/t/G/TBTN24/CAN715A1.DOCX", "https://docs.wto.org/imrd/directdoc.asp?DDFDocuments/t/G/TBTN24/CAN715A1.DOCX")</f>
      </c>
      <c r="P1203" s="6">
        <f>HYPERLINK("https://docs.wto.org/imrd/directdoc.asp?DDFDocuments/u/G/TBTN24/CAN715A1.DOCX", "https://docs.wto.org/imrd/directdoc.asp?DDFDocuments/u/G/TBTN24/CAN715A1.DOCX")</f>
      </c>
      <c r="Q1203" s="6">
        <f>HYPERLINK("https://docs.wto.org/imrd/directdoc.asp?DDFDocuments/v/G/TBTN24/CAN715A1.DOCX", "https://docs.wto.org/imrd/directdoc.asp?DDFDocuments/v/G/TBTN24/CAN715A1.DOCX")</f>
      </c>
    </row>
    <row r="1204">
      <c r="A1204" s="6" t="s">
        <v>1688</v>
      </c>
      <c r="B1204" s="7">
        <v>45483</v>
      </c>
      <c r="C1204" s="6">
        <f>HYPERLINK("https://eping.wto.org/en/Search?viewData= G/TBT/N/THA/741"," G/TBT/N/THA/741")</f>
      </c>
      <c r="D1204" s="8" t="s">
        <v>4170</v>
      </c>
      <c r="E1204" s="8" t="s">
        <v>4171</v>
      </c>
      <c r="F1204" s="8" t="s">
        <v>4102</v>
      </c>
      <c r="G1204" s="6" t="s">
        <v>40</v>
      </c>
      <c r="H1204" s="6" t="s">
        <v>212</v>
      </c>
      <c r="I1204" s="6" t="s">
        <v>142</v>
      </c>
      <c r="J1204" s="6" t="s">
        <v>40</v>
      </c>
      <c r="K1204" s="6"/>
      <c r="L1204" s="7">
        <v>45543</v>
      </c>
      <c r="M1204" s="6" t="s">
        <v>25</v>
      </c>
      <c r="N1204" s="8" t="s">
        <v>4172</v>
      </c>
      <c r="O1204" s="6">
        <f>HYPERLINK("https://docs.wto.org/imrd/directdoc.asp?DDFDocuments/t/G/TBTN24/THA741.DOCX", "https://docs.wto.org/imrd/directdoc.asp?DDFDocuments/t/G/TBTN24/THA741.DOCX")</f>
      </c>
      <c r="P1204" s="6">
        <f>HYPERLINK("https://docs.wto.org/imrd/directdoc.asp?DDFDocuments/u/G/TBTN24/THA741.DOCX", "https://docs.wto.org/imrd/directdoc.asp?DDFDocuments/u/G/TBTN24/THA741.DOCX")</f>
      </c>
      <c r="Q1204" s="6">
        <f>HYPERLINK("https://docs.wto.org/imrd/directdoc.asp?DDFDocuments/v/G/TBTN24/THA741.DOCX", "https://docs.wto.org/imrd/directdoc.asp?DDFDocuments/v/G/TBTN24/THA741.DOCX")</f>
      </c>
    </row>
    <row r="1205">
      <c r="A1205" s="6" t="s">
        <v>1688</v>
      </c>
      <c r="B1205" s="7">
        <v>45483</v>
      </c>
      <c r="C1205" s="6">
        <f>HYPERLINK("https://eping.wto.org/en/Search?viewData= G/TBT/N/THA/742"," G/TBT/N/THA/742")</f>
      </c>
      <c r="D1205" s="8" t="s">
        <v>4173</v>
      </c>
      <c r="E1205" s="8" t="s">
        <v>4174</v>
      </c>
      <c r="F1205" s="8" t="s">
        <v>4102</v>
      </c>
      <c r="G1205" s="6" t="s">
        <v>40</v>
      </c>
      <c r="H1205" s="6" t="s">
        <v>212</v>
      </c>
      <c r="I1205" s="6" t="s">
        <v>142</v>
      </c>
      <c r="J1205" s="6" t="s">
        <v>40</v>
      </c>
      <c r="K1205" s="6"/>
      <c r="L1205" s="7">
        <v>45543</v>
      </c>
      <c r="M1205" s="6" t="s">
        <v>25</v>
      </c>
      <c r="N1205" s="8" t="s">
        <v>4175</v>
      </c>
      <c r="O1205" s="6">
        <f>HYPERLINK("https://docs.wto.org/imrd/directdoc.asp?DDFDocuments/t/G/TBTN24/THA742.DOCX", "https://docs.wto.org/imrd/directdoc.asp?DDFDocuments/t/G/TBTN24/THA742.DOCX")</f>
      </c>
      <c r="P1205" s="6">
        <f>HYPERLINK("https://docs.wto.org/imrd/directdoc.asp?DDFDocuments/u/G/TBTN24/THA742.DOCX", "https://docs.wto.org/imrd/directdoc.asp?DDFDocuments/u/G/TBTN24/THA742.DOCX")</f>
      </c>
      <c r="Q1205" s="6">
        <f>HYPERLINK("https://docs.wto.org/imrd/directdoc.asp?DDFDocuments/v/G/TBTN24/THA742.DOCX", "https://docs.wto.org/imrd/directdoc.asp?DDFDocuments/v/G/TBTN24/THA742.DOCX")</f>
      </c>
    </row>
    <row r="1206">
      <c r="A1206" s="6" t="s">
        <v>343</v>
      </c>
      <c r="B1206" s="7">
        <v>45483</v>
      </c>
      <c r="C1206" s="6">
        <f>HYPERLINK("https://eping.wto.org/en/Search?viewData= G/SPS/N/ARE/283, G/SPS/N/BHR/240, G/SPS/N/KWT/147, G/SPS/N/OMN/135, G/SPS/N/QAT/139, G/SPS/N/SAU/536, G/SPS/N/YEM/80"," G/SPS/N/ARE/283, G/SPS/N/BHR/240, G/SPS/N/KWT/147, G/SPS/N/OMN/135, G/SPS/N/QAT/139, G/SPS/N/SAU/536, G/SPS/N/YEM/80")</f>
      </c>
      <c r="D1206" s="8" t="s">
        <v>4151</v>
      </c>
      <c r="E1206" s="8" t="s">
        <v>4152</v>
      </c>
      <c r="F1206" s="8" t="s">
        <v>4153</v>
      </c>
      <c r="G1206" s="6" t="s">
        <v>3851</v>
      </c>
      <c r="H1206" s="6" t="s">
        <v>1104</v>
      </c>
      <c r="I1206" s="6" t="s">
        <v>38</v>
      </c>
      <c r="J1206" s="6" t="s">
        <v>60</v>
      </c>
      <c r="K1206" s="6" t="s">
        <v>40</v>
      </c>
      <c r="L1206" s="7">
        <v>45543</v>
      </c>
      <c r="M1206" s="6" t="s">
        <v>25</v>
      </c>
      <c r="N1206" s="8" t="s">
        <v>4154</v>
      </c>
      <c r="O1206" s="6">
        <f>HYPERLINK("https://docs.wto.org/imrd/directdoc.asp?DDFDocuments/t/G/SPS/NARE283.DOCX", "https://docs.wto.org/imrd/directdoc.asp?DDFDocuments/t/G/SPS/NARE283.DOCX")</f>
      </c>
      <c r="P1206" s="6">
        <f>HYPERLINK("https://docs.wto.org/imrd/directdoc.asp?DDFDocuments/u/G/SPS/NARE283.DOCX", "https://docs.wto.org/imrd/directdoc.asp?DDFDocuments/u/G/SPS/NARE283.DOCX")</f>
      </c>
      <c r="Q1206" s="6">
        <f>HYPERLINK("https://docs.wto.org/imrd/directdoc.asp?DDFDocuments/v/G/SPS/NARE283.DOCX", "https://docs.wto.org/imrd/directdoc.asp?DDFDocuments/v/G/SPS/NARE283.DOCX")</f>
      </c>
    </row>
    <row r="1207">
      <c r="A1207" s="6" t="s">
        <v>344</v>
      </c>
      <c r="B1207" s="7">
        <v>45483</v>
      </c>
      <c r="C1207" s="6">
        <f>HYPERLINK("https://eping.wto.org/en/Search?viewData= G/SPS/N/ARE/283, G/SPS/N/BHR/240, G/SPS/N/KWT/147, G/SPS/N/OMN/135, G/SPS/N/QAT/139, G/SPS/N/SAU/536, G/SPS/N/YEM/80"," G/SPS/N/ARE/283, G/SPS/N/BHR/240, G/SPS/N/KWT/147, G/SPS/N/OMN/135, G/SPS/N/QAT/139, G/SPS/N/SAU/536, G/SPS/N/YEM/80")</f>
      </c>
      <c r="D1207" s="8" t="s">
        <v>4151</v>
      </c>
      <c r="E1207" s="8" t="s">
        <v>4152</v>
      </c>
      <c r="F1207" s="8" t="s">
        <v>4153</v>
      </c>
      <c r="G1207" s="6" t="s">
        <v>3851</v>
      </c>
      <c r="H1207" s="6" t="s">
        <v>1104</v>
      </c>
      <c r="I1207" s="6" t="s">
        <v>38</v>
      </c>
      <c r="J1207" s="6" t="s">
        <v>39</v>
      </c>
      <c r="K1207" s="6" t="s">
        <v>40</v>
      </c>
      <c r="L1207" s="7">
        <v>45543</v>
      </c>
      <c r="M1207" s="6" t="s">
        <v>25</v>
      </c>
      <c r="N1207" s="8" t="s">
        <v>4154</v>
      </c>
      <c r="O1207" s="6">
        <f>HYPERLINK("https://docs.wto.org/imrd/directdoc.asp?DDFDocuments/t/G/SPS/NARE283.DOCX", "https://docs.wto.org/imrd/directdoc.asp?DDFDocuments/t/G/SPS/NARE283.DOCX")</f>
      </c>
      <c r="P1207" s="6">
        <f>HYPERLINK("https://docs.wto.org/imrd/directdoc.asp?DDFDocuments/u/G/SPS/NARE283.DOCX", "https://docs.wto.org/imrd/directdoc.asp?DDFDocuments/u/G/SPS/NARE283.DOCX")</f>
      </c>
      <c r="Q1207" s="6">
        <f>HYPERLINK("https://docs.wto.org/imrd/directdoc.asp?DDFDocuments/v/G/SPS/NARE283.DOCX", "https://docs.wto.org/imrd/directdoc.asp?DDFDocuments/v/G/SPS/NARE283.DOCX")</f>
      </c>
    </row>
    <row r="1208">
      <c r="A1208" s="6" t="s">
        <v>372</v>
      </c>
      <c r="B1208" s="7">
        <v>45483</v>
      </c>
      <c r="C1208" s="6">
        <f>HYPERLINK("https://eping.wto.org/en/Search?viewData= G/SPS/N/ARE/283, G/SPS/N/BHR/240, G/SPS/N/KWT/147, G/SPS/N/OMN/135, G/SPS/N/QAT/139, G/SPS/N/SAU/536, G/SPS/N/YEM/80"," G/SPS/N/ARE/283, G/SPS/N/BHR/240, G/SPS/N/KWT/147, G/SPS/N/OMN/135, G/SPS/N/QAT/139, G/SPS/N/SAU/536, G/SPS/N/YEM/80")</f>
      </c>
      <c r="D1208" s="8" t="s">
        <v>4151</v>
      </c>
      <c r="E1208" s="8" t="s">
        <v>4152</v>
      </c>
      <c r="F1208" s="8" t="s">
        <v>4153</v>
      </c>
      <c r="G1208" s="6" t="s">
        <v>3851</v>
      </c>
      <c r="H1208" s="6" t="s">
        <v>1104</v>
      </c>
      <c r="I1208" s="6" t="s">
        <v>38</v>
      </c>
      <c r="J1208" s="6" t="s">
        <v>39</v>
      </c>
      <c r="K1208" s="6" t="s">
        <v>40</v>
      </c>
      <c r="L1208" s="7">
        <v>45543</v>
      </c>
      <c r="M1208" s="6" t="s">
        <v>25</v>
      </c>
      <c r="N1208" s="8" t="s">
        <v>4154</v>
      </c>
      <c r="O1208" s="6">
        <f>HYPERLINK("https://docs.wto.org/imrd/directdoc.asp?DDFDocuments/t/G/SPS/NARE283.DOCX", "https://docs.wto.org/imrd/directdoc.asp?DDFDocuments/t/G/SPS/NARE283.DOCX")</f>
      </c>
      <c r="P1208" s="6">
        <f>HYPERLINK("https://docs.wto.org/imrd/directdoc.asp?DDFDocuments/u/G/SPS/NARE283.DOCX", "https://docs.wto.org/imrd/directdoc.asp?DDFDocuments/u/G/SPS/NARE283.DOCX")</f>
      </c>
      <c r="Q1208" s="6">
        <f>HYPERLINK("https://docs.wto.org/imrd/directdoc.asp?DDFDocuments/v/G/SPS/NARE283.DOCX", "https://docs.wto.org/imrd/directdoc.asp?DDFDocuments/v/G/SPS/NARE283.DOCX")</f>
      </c>
    </row>
    <row r="1209">
      <c r="A1209" s="6" t="s">
        <v>1688</v>
      </c>
      <c r="B1209" s="7">
        <v>45483</v>
      </c>
      <c r="C1209" s="6">
        <f>HYPERLINK("https://eping.wto.org/en/Search?viewData= G/TBT/N/THA/743"," G/TBT/N/THA/743")</f>
      </c>
      <c r="D1209" s="8" t="s">
        <v>4176</v>
      </c>
      <c r="E1209" s="8" t="s">
        <v>4177</v>
      </c>
      <c r="F1209" s="8" t="s">
        <v>4009</v>
      </c>
      <c r="G1209" s="6" t="s">
        <v>40</v>
      </c>
      <c r="H1209" s="6" t="s">
        <v>40</v>
      </c>
      <c r="I1209" s="6" t="s">
        <v>280</v>
      </c>
      <c r="J1209" s="6" t="s">
        <v>95</v>
      </c>
      <c r="K1209" s="6"/>
      <c r="L1209" s="7">
        <v>45543</v>
      </c>
      <c r="M1209" s="6" t="s">
        <v>25</v>
      </c>
      <c r="N1209" s="8" t="s">
        <v>4178</v>
      </c>
      <c r="O1209" s="6">
        <f>HYPERLINK("https://docs.wto.org/imrd/directdoc.asp?DDFDocuments/t/G/TBTN24/THA743.DOCX", "https://docs.wto.org/imrd/directdoc.asp?DDFDocuments/t/G/TBTN24/THA743.DOCX")</f>
      </c>
      <c r="P1209" s="6">
        <f>HYPERLINK("https://docs.wto.org/imrd/directdoc.asp?DDFDocuments/u/G/TBTN24/THA743.DOCX", "https://docs.wto.org/imrd/directdoc.asp?DDFDocuments/u/G/TBTN24/THA743.DOCX")</f>
      </c>
      <c r="Q1209" s="6">
        <f>HYPERLINK("https://docs.wto.org/imrd/directdoc.asp?DDFDocuments/v/G/TBTN24/THA743.DOCX", "https://docs.wto.org/imrd/directdoc.asp?DDFDocuments/v/G/TBTN24/THA743.DOCX")</f>
      </c>
    </row>
    <row r="1210">
      <c r="A1210" s="6" t="s">
        <v>584</v>
      </c>
      <c r="B1210" s="7">
        <v>45483</v>
      </c>
      <c r="C1210" s="6">
        <f>HYPERLINK("https://eping.wto.org/en/Search?viewData= G/TBT/N/GBR/75/Add.1"," G/TBT/N/GBR/75/Add.1")</f>
      </c>
      <c r="D1210" s="8" t="s">
        <v>4179</v>
      </c>
      <c r="E1210" s="8" t="s">
        <v>4180</v>
      </c>
      <c r="F1210" s="8" t="s">
        <v>4181</v>
      </c>
      <c r="G1210" s="6" t="s">
        <v>40</v>
      </c>
      <c r="H1210" s="6" t="s">
        <v>2990</v>
      </c>
      <c r="I1210" s="6" t="s">
        <v>2991</v>
      </c>
      <c r="J1210" s="6" t="s">
        <v>40</v>
      </c>
      <c r="K1210" s="6"/>
      <c r="L1210" s="7" t="s">
        <v>40</v>
      </c>
      <c r="M1210" s="6" t="s">
        <v>76</v>
      </c>
      <c r="N1210" s="8" t="s">
        <v>4182</v>
      </c>
      <c r="O1210" s="6">
        <f>HYPERLINK("https://docs.wto.org/imrd/directdoc.asp?DDFDocuments/t/G/TBTN24/GBR75A1.DOCX", "https://docs.wto.org/imrd/directdoc.asp?DDFDocuments/t/G/TBTN24/GBR75A1.DOCX")</f>
      </c>
      <c r="P1210" s="6">
        <f>HYPERLINK("https://docs.wto.org/imrd/directdoc.asp?DDFDocuments/u/G/TBTN24/GBR75A1.DOCX", "https://docs.wto.org/imrd/directdoc.asp?DDFDocuments/u/G/TBTN24/GBR75A1.DOCX")</f>
      </c>
      <c r="Q1210" s="6">
        <f>HYPERLINK("https://docs.wto.org/imrd/directdoc.asp?DDFDocuments/v/G/TBTN24/GBR75A1.DOCX", "https://docs.wto.org/imrd/directdoc.asp?DDFDocuments/v/G/TBTN24/GBR75A1.DOCX")</f>
      </c>
    </row>
    <row r="1211">
      <c r="A1211" s="6" t="s">
        <v>160</v>
      </c>
      <c r="B1211" s="7">
        <v>45483</v>
      </c>
      <c r="C1211" s="6">
        <f>HYPERLINK("https://eping.wto.org/en/Search?viewData= G/TBT/N/USA/2043/Add.1"," G/TBT/N/USA/2043/Add.1")</f>
      </c>
      <c r="D1211" s="8" t="s">
        <v>4183</v>
      </c>
      <c r="E1211" s="8" t="s">
        <v>4184</v>
      </c>
      <c r="F1211" s="8" t="s">
        <v>4185</v>
      </c>
      <c r="G1211" s="6" t="s">
        <v>40</v>
      </c>
      <c r="H1211" s="6" t="s">
        <v>4186</v>
      </c>
      <c r="I1211" s="6" t="s">
        <v>1815</v>
      </c>
      <c r="J1211" s="6" t="s">
        <v>40</v>
      </c>
      <c r="K1211" s="6"/>
      <c r="L1211" s="7">
        <v>45512</v>
      </c>
      <c r="M1211" s="6" t="s">
        <v>76</v>
      </c>
      <c r="N1211" s="8" t="s">
        <v>4187</v>
      </c>
      <c r="O1211" s="6">
        <f>HYPERLINK("https://docs.wto.org/imrd/directdoc.asp?DDFDocuments/t/G/TBTN23/USA2043A1.DOCX", "https://docs.wto.org/imrd/directdoc.asp?DDFDocuments/t/G/TBTN23/USA2043A1.DOCX")</f>
      </c>
      <c r="P1211" s="6">
        <f>HYPERLINK("https://docs.wto.org/imrd/directdoc.asp?DDFDocuments/u/G/TBTN23/USA2043A1.DOCX", "https://docs.wto.org/imrd/directdoc.asp?DDFDocuments/u/G/TBTN23/USA2043A1.DOCX")</f>
      </c>
      <c r="Q1211" s="6">
        <f>HYPERLINK("https://docs.wto.org/imrd/directdoc.asp?DDFDocuments/v/G/TBTN23/USA2043A1.DOCX", "https://docs.wto.org/imrd/directdoc.asp?DDFDocuments/v/G/TBTN23/USA2043A1.DOCX")</f>
      </c>
    </row>
    <row r="1212">
      <c r="A1212" s="6" t="s">
        <v>419</v>
      </c>
      <c r="B1212" s="7">
        <v>45483</v>
      </c>
      <c r="C1212" s="6">
        <f>HYPERLINK("https://eping.wto.org/en/Search?viewData= G/TBT/N/JPN/783/Add.1"," G/TBT/N/JPN/783/Add.1")</f>
      </c>
      <c r="D1212" s="8" t="s">
        <v>4188</v>
      </c>
      <c r="E1212" s="8" t="s">
        <v>4189</v>
      </c>
      <c r="F1212" s="8" t="s">
        <v>4190</v>
      </c>
      <c r="G1212" s="6" t="s">
        <v>40</v>
      </c>
      <c r="H1212" s="6" t="s">
        <v>1352</v>
      </c>
      <c r="I1212" s="6" t="s">
        <v>142</v>
      </c>
      <c r="J1212" s="6" t="s">
        <v>40</v>
      </c>
      <c r="K1212" s="6"/>
      <c r="L1212" s="7" t="s">
        <v>40</v>
      </c>
      <c r="M1212" s="6" t="s">
        <v>76</v>
      </c>
      <c r="N1212" s="8" t="s">
        <v>4191</v>
      </c>
      <c r="O1212" s="6">
        <f>HYPERLINK("https://docs.wto.org/imrd/directdoc.asp?DDFDocuments/t/G/TBTN23/JPN783A1.DOCX", "https://docs.wto.org/imrd/directdoc.asp?DDFDocuments/t/G/TBTN23/JPN783A1.DOCX")</f>
      </c>
      <c r="P1212" s="6">
        <f>HYPERLINK("https://docs.wto.org/imrd/directdoc.asp?DDFDocuments/u/G/TBTN23/JPN783A1.DOCX", "https://docs.wto.org/imrd/directdoc.asp?DDFDocuments/u/G/TBTN23/JPN783A1.DOCX")</f>
      </c>
      <c r="Q1212" s="6">
        <f>HYPERLINK("https://docs.wto.org/imrd/directdoc.asp?DDFDocuments/v/G/TBTN23/JPN783A1.DOCX", "https://docs.wto.org/imrd/directdoc.asp?DDFDocuments/v/G/TBTN23/JPN783A1.DOCX")</f>
      </c>
    </row>
    <row r="1213">
      <c r="A1213" s="6" t="s">
        <v>307</v>
      </c>
      <c r="B1213" s="7">
        <v>45483</v>
      </c>
      <c r="C1213" s="6">
        <f>HYPERLINK("https://eping.wto.org/en/Search?viewData= G/SPS/N/CAN/1445/Add.2"," G/SPS/N/CAN/1445/Add.2")</f>
      </c>
      <c r="D1213" s="8" t="s">
        <v>2780</v>
      </c>
      <c r="E1213" s="8" t="s">
        <v>2781</v>
      </c>
      <c r="F1213" s="8" t="s">
        <v>2782</v>
      </c>
      <c r="G1213" s="6" t="s">
        <v>2783</v>
      </c>
      <c r="H1213" s="6" t="s">
        <v>40</v>
      </c>
      <c r="I1213" s="6" t="s">
        <v>353</v>
      </c>
      <c r="J1213" s="6" t="s">
        <v>4192</v>
      </c>
      <c r="K1213" s="6"/>
      <c r="L1213" s="7">
        <v>45543</v>
      </c>
      <c r="M1213" s="6" t="s">
        <v>76</v>
      </c>
      <c r="N1213" s="6"/>
      <c r="O1213" s="6">
        <f>HYPERLINK("https://docs.wto.org/imrd/directdoc.asp?DDFDocuments/t/G/SPS/NCAN1445A2.DOCX", "https://docs.wto.org/imrd/directdoc.asp?DDFDocuments/t/G/SPS/NCAN1445A2.DOCX")</f>
      </c>
      <c r="P1213" s="6">
        <f>HYPERLINK("https://docs.wto.org/imrd/directdoc.asp?DDFDocuments/u/G/SPS/NCAN1445A2.DOCX", "https://docs.wto.org/imrd/directdoc.asp?DDFDocuments/u/G/SPS/NCAN1445A2.DOCX")</f>
      </c>
      <c r="Q1213" s="6">
        <f>HYPERLINK("https://docs.wto.org/imrd/directdoc.asp?DDFDocuments/v/G/SPS/NCAN1445A2.DOCX", "https://docs.wto.org/imrd/directdoc.asp?DDFDocuments/v/G/SPS/NCAN1445A2.DOCX")</f>
      </c>
    </row>
    <row r="1214">
      <c r="A1214" s="6" t="s">
        <v>393</v>
      </c>
      <c r="B1214" s="7">
        <v>45483</v>
      </c>
      <c r="C1214" s="6">
        <f>HYPERLINK("https://eping.wto.org/en/Search?viewData= G/SPS/N/ARE/282, G/SPS/N/BHR/239, G/SPS/N/KWT/146, G/SPS/N/OMN/134, G/SPS/N/QAT/138, G/SPS/N/SAU/535, G/SPS/N/YEM/79"," G/SPS/N/ARE/282, G/SPS/N/BHR/239, G/SPS/N/KWT/146, G/SPS/N/OMN/134, G/SPS/N/QAT/138, G/SPS/N/SAU/535, G/SPS/N/YEM/79")</f>
      </c>
      <c r="D1214" s="8" t="s">
        <v>4136</v>
      </c>
      <c r="E1214" s="8" t="s">
        <v>4137</v>
      </c>
      <c r="F1214" s="8" t="s">
        <v>4138</v>
      </c>
      <c r="G1214" s="6" t="s">
        <v>40</v>
      </c>
      <c r="H1214" s="6" t="s">
        <v>336</v>
      </c>
      <c r="I1214" s="6" t="s">
        <v>38</v>
      </c>
      <c r="J1214" s="6" t="s">
        <v>60</v>
      </c>
      <c r="K1214" s="6" t="s">
        <v>40</v>
      </c>
      <c r="L1214" s="7">
        <v>45543</v>
      </c>
      <c r="M1214" s="6" t="s">
        <v>25</v>
      </c>
      <c r="N1214" s="8" t="s">
        <v>4139</v>
      </c>
      <c r="O1214" s="6">
        <f>HYPERLINK("https://docs.wto.org/imrd/directdoc.asp?DDFDocuments/t/G/SPS/NARE282.DOCX", "https://docs.wto.org/imrd/directdoc.asp?DDFDocuments/t/G/SPS/NARE282.DOCX")</f>
      </c>
      <c r="P1214" s="6">
        <f>HYPERLINK("https://docs.wto.org/imrd/directdoc.asp?DDFDocuments/u/G/SPS/NARE282.DOCX", "https://docs.wto.org/imrd/directdoc.asp?DDFDocuments/u/G/SPS/NARE282.DOCX")</f>
      </c>
      <c r="Q1214" s="6">
        <f>HYPERLINK("https://docs.wto.org/imrd/directdoc.asp?DDFDocuments/v/G/SPS/NARE282.DOCX", "https://docs.wto.org/imrd/directdoc.asp?DDFDocuments/v/G/SPS/NARE282.DOCX")</f>
      </c>
    </row>
    <row r="1215">
      <c r="A1215" s="6" t="s">
        <v>2030</v>
      </c>
      <c r="B1215" s="7">
        <v>45483</v>
      </c>
      <c r="C1215" s="6">
        <f>HYPERLINK("https://eping.wto.org/en/Search?viewData= G/TBT/N/BDI/361/Add.1, G/TBT/N/KEN/1441/Add.1, G/TBT/N/RWA/872/Add.1, G/TBT/N/TZA/975/Add.1, G/TBT/N/UGA/1777/Add.1"," G/TBT/N/BDI/361/Add.1, G/TBT/N/KEN/1441/Add.1, G/TBT/N/RWA/872/Add.1, G/TBT/N/TZA/975/Add.1, G/TBT/N/UGA/1777/Add.1")</f>
      </c>
      <c r="D1215" s="8" t="s">
        <v>4124</v>
      </c>
      <c r="E1215" s="8" t="s">
        <v>4125</v>
      </c>
      <c r="F1215" s="8" t="s">
        <v>4126</v>
      </c>
      <c r="G1215" s="6" t="s">
        <v>4193</v>
      </c>
      <c r="H1215" s="6" t="s">
        <v>4128</v>
      </c>
      <c r="I1215" s="6" t="s">
        <v>4194</v>
      </c>
      <c r="J1215" s="6" t="s">
        <v>40</v>
      </c>
      <c r="K1215" s="6"/>
      <c r="L1215" s="7" t="s">
        <v>40</v>
      </c>
      <c r="M1215" s="6" t="s">
        <v>76</v>
      </c>
      <c r="N1215" s="6"/>
      <c r="O1215" s="6">
        <f>HYPERLINK("https://docs.wto.org/imrd/directdoc.asp?DDFDocuments/t/G/TBTN23/BDI361A1.DOCX", "https://docs.wto.org/imrd/directdoc.asp?DDFDocuments/t/G/TBTN23/BDI361A1.DOCX")</f>
      </c>
      <c r="P1215" s="6">
        <f>HYPERLINK("https://docs.wto.org/imrd/directdoc.asp?DDFDocuments/u/G/TBTN23/BDI361A1.DOCX", "https://docs.wto.org/imrd/directdoc.asp?DDFDocuments/u/G/TBTN23/BDI361A1.DOCX")</f>
      </c>
      <c r="Q1215" s="6">
        <f>HYPERLINK("https://docs.wto.org/imrd/directdoc.asp?DDFDocuments/v/G/TBTN23/BDI361A1.DOCX", "https://docs.wto.org/imrd/directdoc.asp?DDFDocuments/v/G/TBTN23/BDI361A1.DOCX")</f>
      </c>
    </row>
    <row r="1216">
      <c r="A1216" s="6" t="s">
        <v>136</v>
      </c>
      <c r="B1216" s="7">
        <v>45483</v>
      </c>
      <c r="C1216" s="6">
        <f>HYPERLINK("https://eping.wto.org/en/Search?viewData= G/SPS/N/PER/1051"," G/SPS/N/PER/1051")</f>
      </c>
      <c r="D1216" s="8" t="s">
        <v>4195</v>
      </c>
      <c r="E1216" s="8" t="s">
        <v>4196</v>
      </c>
      <c r="F1216" s="8" t="s">
        <v>4197</v>
      </c>
      <c r="G1216" s="6" t="s">
        <v>368</v>
      </c>
      <c r="H1216" s="6" t="s">
        <v>40</v>
      </c>
      <c r="I1216" s="6" t="s">
        <v>369</v>
      </c>
      <c r="J1216" s="6" t="s">
        <v>565</v>
      </c>
      <c r="K1216" s="6" t="s">
        <v>566</v>
      </c>
      <c r="L1216" s="7" t="s">
        <v>40</v>
      </c>
      <c r="M1216" s="6" t="s">
        <v>25</v>
      </c>
      <c r="N1216" s="8" t="s">
        <v>4198</v>
      </c>
      <c r="O1216" s="6">
        <f>HYPERLINK("https://docs.wto.org/imrd/directdoc.asp?DDFDocuments/t/G/SPS/NPER1051.DOCX", "https://docs.wto.org/imrd/directdoc.asp?DDFDocuments/t/G/SPS/NPER1051.DOCX")</f>
      </c>
      <c r="P1216" s="6">
        <f>HYPERLINK("https://docs.wto.org/imrd/directdoc.asp?DDFDocuments/u/G/SPS/NPER1051.DOCX", "https://docs.wto.org/imrd/directdoc.asp?DDFDocuments/u/G/SPS/NPER1051.DOCX")</f>
      </c>
      <c r="Q1216" s="6">
        <f>HYPERLINK("https://docs.wto.org/imrd/directdoc.asp?DDFDocuments/v/G/SPS/NPER1051.DOCX", "https://docs.wto.org/imrd/directdoc.asp?DDFDocuments/v/G/SPS/NPER1051.DOCX")</f>
      </c>
    </row>
    <row r="1217">
      <c r="A1217" s="6" t="s">
        <v>331</v>
      </c>
      <c r="B1217" s="7">
        <v>45483</v>
      </c>
      <c r="C1217" s="6">
        <f>HYPERLINK("https://eping.wto.org/en/Search?viewData= G/SPS/N/ARE/283, G/SPS/N/BHR/240, G/SPS/N/KWT/147, G/SPS/N/OMN/135, G/SPS/N/QAT/139, G/SPS/N/SAU/536, G/SPS/N/YEM/80"," G/SPS/N/ARE/283, G/SPS/N/BHR/240, G/SPS/N/KWT/147, G/SPS/N/OMN/135, G/SPS/N/QAT/139, G/SPS/N/SAU/536, G/SPS/N/YEM/80")</f>
      </c>
      <c r="D1217" s="8" t="s">
        <v>4151</v>
      </c>
      <c r="E1217" s="8" t="s">
        <v>4152</v>
      </c>
      <c r="F1217" s="8" t="s">
        <v>4153</v>
      </c>
      <c r="G1217" s="6" t="s">
        <v>3851</v>
      </c>
      <c r="H1217" s="6" t="s">
        <v>1104</v>
      </c>
      <c r="I1217" s="6" t="s">
        <v>38</v>
      </c>
      <c r="J1217" s="6" t="s">
        <v>39</v>
      </c>
      <c r="K1217" s="6" t="s">
        <v>40</v>
      </c>
      <c r="L1217" s="7">
        <v>45543</v>
      </c>
      <c r="M1217" s="6" t="s">
        <v>25</v>
      </c>
      <c r="N1217" s="8" t="s">
        <v>4154</v>
      </c>
      <c r="O1217" s="6">
        <f>HYPERLINK("https://docs.wto.org/imrd/directdoc.asp?DDFDocuments/t/G/SPS/NARE283.DOCX", "https://docs.wto.org/imrd/directdoc.asp?DDFDocuments/t/G/SPS/NARE283.DOCX")</f>
      </c>
      <c r="P1217" s="6">
        <f>HYPERLINK("https://docs.wto.org/imrd/directdoc.asp?DDFDocuments/u/G/SPS/NARE283.DOCX", "https://docs.wto.org/imrd/directdoc.asp?DDFDocuments/u/G/SPS/NARE283.DOCX")</f>
      </c>
      <c r="Q1217" s="6">
        <f>HYPERLINK("https://docs.wto.org/imrd/directdoc.asp?DDFDocuments/v/G/SPS/NARE283.DOCX", "https://docs.wto.org/imrd/directdoc.asp?DDFDocuments/v/G/SPS/NARE283.DOCX")</f>
      </c>
    </row>
    <row r="1218">
      <c r="A1218" s="6" t="s">
        <v>2024</v>
      </c>
      <c r="B1218" s="7">
        <v>45483</v>
      </c>
      <c r="C1218" s="6">
        <f>HYPERLINK("https://eping.wto.org/en/Search?viewData= G/TBT/N/BDI/361/Add.1, G/TBT/N/KEN/1441/Add.1, G/TBT/N/RWA/872/Add.1, G/TBT/N/TZA/975/Add.1, G/TBT/N/UGA/1777/Add.1"," G/TBT/N/BDI/361/Add.1, G/TBT/N/KEN/1441/Add.1, G/TBT/N/RWA/872/Add.1, G/TBT/N/TZA/975/Add.1, G/TBT/N/UGA/1777/Add.1")</f>
      </c>
      <c r="D1218" s="8" t="s">
        <v>4124</v>
      </c>
      <c r="E1218" s="8" t="s">
        <v>4125</v>
      </c>
      <c r="F1218" s="8" t="s">
        <v>4126</v>
      </c>
      <c r="G1218" s="6" t="s">
        <v>4127</v>
      </c>
      <c r="H1218" s="6" t="s">
        <v>4128</v>
      </c>
      <c r="I1218" s="6" t="s">
        <v>4129</v>
      </c>
      <c r="J1218" s="6" t="s">
        <v>40</v>
      </c>
      <c r="K1218" s="6"/>
      <c r="L1218" s="7" t="s">
        <v>40</v>
      </c>
      <c r="M1218" s="6" t="s">
        <v>76</v>
      </c>
      <c r="N1218" s="6"/>
      <c r="O1218" s="6">
        <f>HYPERLINK("https://docs.wto.org/imrd/directdoc.asp?DDFDocuments/t/G/TBTN23/BDI361A1.DOCX", "https://docs.wto.org/imrd/directdoc.asp?DDFDocuments/t/G/TBTN23/BDI361A1.DOCX")</f>
      </c>
      <c r="P1218" s="6">
        <f>HYPERLINK("https://docs.wto.org/imrd/directdoc.asp?DDFDocuments/u/G/TBTN23/BDI361A1.DOCX", "https://docs.wto.org/imrd/directdoc.asp?DDFDocuments/u/G/TBTN23/BDI361A1.DOCX")</f>
      </c>
      <c r="Q1218" s="6">
        <f>HYPERLINK("https://docs.wto.org/imrd/directdoc.asp?DDFDocuments/v/G/TBTN23/BDI361A1.DOCX", "https://docs.wto.org/imrd/directdoc.asp?DDFDocuments/v/G/TBTN23/BDI361A1.DOCX")</f>
      </c>
    </row>
    <row r="1219">
      <c r="A1219" s="6" t="s">
        <v>450</v>
      </c>
      <c r="B1219" s="7">
        <v>45483</v>
      </c>
      <c r="C1219" s="6">
        <f>HYPERLINK("https://eping.wto.org/en/Search?viewData= G/TBT/N/EGY/212/Add.7"," G/TBT/N/EGY/212/Add.7")</f>
      </c>
      <c r="D1219" s="8" t="s">
        <v>4199</v>
      </c>
      <c r="E1219" s="8" t="s">
        <v>4200</v>
      </c>
      <c r="F1219" s="8" t="s">
        <v>2935</v>
      </c>
      <c r="G1219" s="6" t="s">
        <v>2936</v>
      </c>
      <c r="H1219" s="6" t="s">
        <v>2937</v>
      </c>
      <c r="I1219" s="6" t="s">
        <v>147</v>
      </c>
      <c r="J1219" s="6" t="s">
        <v>122</v>
      </c>
      <c r="K1219" s="6"/>
      <c r="L1219" s="7" t="s">
        <v>40</v>
      </c>
      <c r="M1219" s="6" t="s">
        <v>76</v>
      </c>
      <c r="N1219" s="6"/>
      <c r="O1219" s="6">
        <f>HYPERLINK("https://docs.wto.org/imrd/directdoc.asp?DDFDocuments/t/G/TBTN19/EGY212A7.DOCX", "https://docs.wto.org/imrd/directdoc.asp?DDFDocuments/t/G/TBTN19/EGY212A7.DOCX")</f>
      </c>
      <c r="P1219" s="6">
        <f>HYPERLINK("https://docs.wto.org/imrd/directdoc.asp?DDFDocuments/u/G/TBTN19/EGY212A7.DOCX", "https://docs.wto.org/imrd/directdoc.asp?DDFDocuments/u/G/TBTN19/EGY212A7.DOCX")</f>
      </c>
      <c r="Q1219" s="6">
        <f>HYPERLINK("https://docs.wto.org/imrd/directdoc.asp?DDFDocuments/v/G/TBTN19/EGY212A7.DOCX", "https://docs.wto.org/imrd/directdoc.asp?DDFDocuments/v/G/TBTN19/EGY212A7.DOCX")</f>
      </c>
    </row>
    <row r="1220">
      <c r="A1220" s="6" t="s">
        <v>391</v>
      </c>
      <c r="B1220" s="7">
        <v>45483</v>
      </c>
      <c r="C1220" s="6">
        <f>HYPERLINK("https://eping.wto.org/en/Search?viewData= G/SPS/N/ARE/282, G/SPS/N/BHR/239, G/SPS/N/KWT/146, G/SPS/N/OMN/134, G/SPS/N/QAT/138, G/SPS/N/SAU/535, G/SPS/N/YEM/79"," G/SPS/N/ARE/282, G/SPS/N/BHR/239, G/SPS/N/KWT/146, G/SPS/N/OMN/134, G/SPS/N/QAT/138, G/SPS/N/SAU/535, G/SPS/N/YEM/79")</f>
      </c>
      <c r="D1220" s="8" t="s">
        <v>4136</v>
      </c>
      <c r="E1220" s="8" t="s">
        <v>4137</v>
      </c>
      <c r="F1220" s="8" t="s">
        <v>4138</v>
      </c>
      <c r="G1220" s="6" t="s">
        <v>40</v>
      </c>
      <c r="H1220" s="6" t="s">
        <v>336</v>
      </c>
      <c r="I1220" s="6" t="s">
        <v>38</v>
      </c>
      <c r="J1220" s="6" t="s">
        <v>39</v>
      </c>
      <c r="K1220" s="6" t="s">
        <v>40</v>
      </c>
      <c r="L1220" s="7">
        <v>45543</v>
      </c>
      <c r="M1220" s="6" t="s">
        <v>25</v>
      </c>
      <c r="N1220" s="8" t="s">
        <v>4139</v>
      </c>
      <c r="O1220" s="6">
        <f>HYPERLINK("https://docs.wto.org/imrd/directdoc.asp?DDFDocuments/t/G/SPS/NARE282.DOCX", "https://docs.wto.org/imrd/directdoc.asp?DDFDocuments/t/G/SPS/NARE282.DOCX")</f>
      </c>
      <c r="P1220" s="6">
        <f>HYPERLINK("https://docs.wto.org/imrd/directdoc.asp?DDFDocuments/u/G/SPS/NARE282.DOCX", "https://docs.wto.org/imrd/directdoc.asp?DDFDocuments/u/G/SPS/NARE282.DOCX")</f>
      </c>
      <c r="Q1220" s="6">
        <f>HYPERLINK("https://docs.wto.org/imrd/directdoc.asp?DDFDocuments/v/G/SPS/NARE282.DOCX", "https://docs.wto.org/imrd/directdoc.asp?DDFDocuments/v/G/SPS/NARE282.DOCX")</f>
      </c>
    </row>
    <row r="1221">
      <c r="A1221" s="6" t="s">
        <v>331</v>
      </c>
      <c r="B1221" s="7">
        <v>45483</v>
      </c>
      <c r="C1221" s="6">
        <f>HYPERLINK("https://eping.wto.org/en/Search?viewData= G/SPS/N/ARE/282, G/SPS/N/BHR/239, G/SPS/N/KWT/146, G/SPS/N/OMN/134, G/SPS/N/QAT/138, G/SPS/N/SAU/535, G/SPS/N/YEM/79"," G/SPS/N/ARE/282, G/SPS/N/BHR/239, G/SPS/N/KWT/146, G/SPS/N/OMN/134, G/SPS/N/QAT/138, G/SPS/N/SAU/535, G/SPS/N/YEM/79")</f>
      </c>
      <c r="D1221" s="8" t="s">
        <v>4136</v>
      </c>
      <c r="E1221" s="8" t="s">
        <v>4137</v>
      </c>
      <c r="F1221" s="8" t="s">
        <v>4138</v>
      </c>
      <c r="G1221" s="6" t="s">
        <v>40</v>
      </c>
      <c r="H1221" s="6" t="s">
        <v>336</v>
      </c>
      <c r="I1221" s="6" t="s">
        <v>38</v>
      </c>
      <c r="J1221" s="6" t="s">
        <v>39</v>
      </c>
      <c r="K1221" s="6" t="s">
        <v>40</v>
      </c>
      <c r="L1221" s="7">
        <v>45543</v>
      </c>
      <c r="M1221" s="6" t="s">
        <v>25</v>
      </c>
      <c r="N1221" s="8" t="s">
        <v>4139</v>
      </c>
      <c r="O1221" s="6">
        <f>HYPERLINK("https://docs.wto.org/imrd/directdoc.asp?DDFDocuments/t/G/SPS/NARE282.DOCX", "https://docs.wto.org/imrd/directdoc.asp?DDFDocuments/t/G/SPS/NARE282.DOCX")</f>
      </c>
      <c r="P1221" s="6">
        <f>HYPERLINK("https://docs.wto.org/imrd/directdoc.asp?DDFDocuments/u/G/SPS/NARE282.DOCX", "https://docs.wto.org/imrd/directdoc.asp?DDFDocuments/u/G/SPS/NARE282.DOCX")</f>
      </c>
      <c r="Q1221" s="6">
        <f>HYPERLINK("https://docs.wto.org/imrd/directdoc.asp?DDFDocuments/v/G/SPS/NARE282.DOCX", "https://docs.wto.org/imrd/directdoc.asp?DDFDocuments/v/G/SPS/NARE282.DOCX")</f>
      </c>
    </row>
    <row r="1222">
      <c r="A1222" s="6" t="s">
        <v>2030</v>
      </c>
      <c r="B1222" s="7">
        <v>45483</v>
      </c>
      <c r="C1222" s="6">
        <f>HYPERLINK("https://eping.wto.org/en/Search?viewData= G/TBT/N/UGA/1966"," G/TBT/N/UGA/1966")</f>
      </c>
      <c r="D1222" s="8" t="s">
        <v>4201</v>
      </c>
      <c r="E1222" s="8" t="s">
        <v>4202</v>
      </c>
      <c r="F1222" s="8" t="s">
        <v>4203</v>
      </c>
      <c r="G1222" s="6" t="s">
        <v>4204</v>
      </c>
      <c r="H1222" s="6" t="s">
        <v>4205</v>
      </c>
      <c r="I1222" s="6" t="s">
        <v>134</v>
      </c>
      <c r="J1222" s="6" t="s">
        <v>40</v>
      </c>
      <c r="K1222" s="6"/>
      <c r="L1222" s="7">
        <v>45543</v>
      </c>
      <c r="M1222" s="6" t="s">
        <v>25</v>
      </c>
      <c r="N1222" s="6"/>
      <c r="O1222" s="6">
        <f>HYPERLINK("https://docs.wto.org/imrd/directdoc.asp?DDFDocuments/t/G/TBTN24/UGA1966.DOCX", "https://docs.wto.org/imrd/directdoc.asp?DDFDocuments/t/G/TBTN24/UGA1966.DOCX")</f>
      </c>
      <c r="P1222" s="6">
        <f>HYPERLINK("https://docs.wto.org/imrd/directdoc.asp?DDFDocuments/u/G/TBTN24/UGA1966.DOCX", "https://docs.wto.org/imrd/directdoc.asp?DDFDocuments/u/G/TBTN24/UGA1966.DOCX")</f>
      </c>
      <c r="Q1222" s="6">
        <f>HYPERLINK("https://docs.wto.org/imrd/directdoc.asp?DDFDocuments/v/G/TBTN24/UGA1966.DOCX", "https://docs.wto.org/imrd/directdoc.asp?DDFDocuments/v/G/TBTN24/UGA1966.DOCX")</f>
      </c>
    </row>
    <row r="1223">
      <c r="A1223" s="6" t="s">
        <v>401</v>
      </c>
      <c r="B1223" s="7">
        <v>45483</v>
      </c>
      <c r="C1223" s="6">
        <f>HYPERLINK("https://eping.wto.org/en/Search?viewData= G/TBT/N/KOR/1217"," G/TBT/N/KOR/1217")</f>
      </c>
      <c r="D1223" s="8" t="s">
        <v>4206</v>
      </c>
      <c r="E1223" s="8" t="s">
        <v>4207</v>
      </c>
      <c r="F1223" s="8" t="s">
        <v>4208</v>
      </c>
      <c r="G1223" s="6" t="s">
        <v>40</v>
      </c>
      <c r="H1223" s="6" t="s">
        <v>93</v>
      </c>
      <c r="I1223" s="6" t="s">
        <v>379</v>
      </c>
      <c r="J1223" s="6" t="s">
        <v>95</v>
      </c>
      <c r="K1223" s="6"/>
      <c r="L1223" s="7">
        <v>45543</v>
      </c>
      <c r="M1223" s="6" t="s">
        <v>25</v>
      </c>
      <c r="N1223" s="8" t="s">
        <v>4209</v>
      </c>
      <c r="O1223" s="6">
        <f>HYPERLINK("https://docs.wto.org/imrd/directdoc.asp?DDFDocuments/t/G/TBTN24/KOR1217.DOCX", "https://docs.wto.org/imrd/directdoc.asp?DDFDocuments/t/G/TBTN24/KOR1217.DOCX")</f>
      </c>
      <c r="P1223" s="6">
        <f>HYPERLINK("https://docs.wto.org/imrd/directdoc.asp?DDFDocuments/u/G/TBTN24/KOR1217.DOCX", "https://docs.wto.org/imrd/directdoc.asp?DDFDocuments/u/G/TBTN24/KOR1217.DOCX")</f>
      </c>
      <c r="Q1223" s="6">
        <f>HYPERLINK("https://docs.wto.org/imrd/directdoc.asp?DDFDocuments/v/G/TBTN24/KOR1217.DOCX", "https://docs.wto.org/imrd/directdoc.asp?DDFDocuments/v/G/TBTN24/KOR1217.DOCX")</f>
      </c>
    </row>
    <row r="1224">
      <c r="A1224" s="6" t="s">
        <v>198</v>
      </c>
      <c r="B1224" s="7">
        <v>45483</v>
      </c>
      <c r="C1224" s="6">
        <f>HYPERLINK("https://eping.wto.org/en/Search?viewData= G/TBT/N/CHL/691"," G/TBT/N/CHL/691")</f>
      </c>
      <c r="D1224" s="8" t="s">
        <v>4210</v>
      </c>
      <c r="E1224" s="8" t="s">
        <v>4211</v>
      </c>
      <c r="F1224" s="8" t="s">
        <v>4212</v>
      </c>
      <c r="G1224" s="6" t="s">
        <v>4213</v>
      </c>
      <c r="H1224" s="6" t="s">
        <v>1796</v>
      </c>
      <c r="I1224" s="6" t="s">
        <v>147</v>
      </c>
      <c r="J1224" s="6" t="s">
        <v>24</v>
      </c>
      <c r="K1224" s="6"/>
      <c r="L1224" s="7">
        <v>45543</v>
      </c>
      <c r="M1224" s="6" t="s">
        <v>25</v>
      </c>
      <c r="N1224" s="8" t="s">
        <v>4214</v>
      </c>
      <c r="O1224" s="6">
        <f>HYPERLINK("https://docs.wto.org/imrd/directdoc.asp?DDFDocuments/t/G/TBTN24/CHL691.DOCX", "https://docs.wto.org/imrd/directdoc.asp?DDFDocuments/t/G/TBTN24/CHL691.DOCX")</f>
      </c>
      <c r="P1224" s="6">
        <f>HYPERLINK("https://docs.wto.org/imrd/directdoc.asp?DDFDocuments/u/G/TBTN24/CHL691.DOCX", "https://docs.wto.org/imrd/directdoc.asp?DDFDocuments/u/G/TBTN24/CHL691.DOCX")</f>
      </c>
      <c r="Q1224" s="6">
        <f>HYPERLINK("https://docs.wto.org/imrd/directdoc.asp?DDFDocuments/v/G/TBTN24/CHL691.DOCX", "https://docs.wto.org/imrd/directdoc.asp?DDFDocuments/v/G/TBTN24/CHL691.DOCX")</f>
      </c>
    </row>
    <row r="1225">
      <c r="A1225" s="6" t="s">
        <v>198</v>
      </c>
      <c r="B1225" s="7">
        <v>45483</v>
      </c>
      <c r="C1225" s="6">
        <f>HYPERLINK("https://eping.wto.org/en/Search?viewData= G/SPS/N/CHL/795"," G/SPS/N/CHL/795")</f>
      </c>
      <c r="D1225" s="8" t="s">
        <v>4215</v>
      </c>
      <c r="E1225" s="8" t="s">
        <v>4216</v>
      </c>
      <c r="F1225" s="8" t="s">
        <v>4212</v>
      </c>
      <c r="G1225" s="6" t="s">
        <v>4213</v>
      </c>
      <c r="H1225" s="6" t="s">
        <v>40</v>
      </c>
      <c r="I1225" s="6" t="s">
        <v>38</v>
      </c>
      <c r="J1225" s="6" t="s">
        <v>39</v>
      </c>
      <c r="K1225" s="6" t="s">
        <v>40</v>
      </c>
      <c r="L1225" s="7">
        <v>45543</v>
      </c>
      <c r="M1225" s="6" t="s">
        <v>25</v>
      </c>
      <c r="N1225" s="8" t="s">
        <v>4217</v>
      </c>
      <c r="O1225" s="6">
        <f>HYPERLINK("https://docs.wto.org/imrd/directdoc.asp?DDFDocuments/t/G/SPS/NCHL795.DOCX", "https://docs.wto.org/imrd/directdoc.asp?DDFDocuments/t/G/SPS/NCHL795.DOCX")</f>
      </c>
      <c r="P1225" s="6">
        <f>HYPERLINK("https://docs.wto.org/imrd/directdoc.asp?DDFDocuments/u/G/SPS/NCHL795.DOCX", "https://docs.wto.org/imrd/directdoc.asp?DDFDocuments/u/G/SPS/NCHL795.DOCX")</f>
      </c>
      <c r="Q1225" s="6">
        <f>HYPERLINK("https://docs.wto.org/imrd/directdoc.asp?DDFDocuments/v/G/SPS/NCHL795.DOCX", "https://docs.wto.org/imrd/directdoc.asp?DDFDocuments/v/G/SPS/NCHL795.DOCX")</f>
      </c>
    </row>
    <row r="1226">
      <c r="A1226" s="6" t="s">
        <v>129</v>
      </c>
      <c r="B1226" s="7">
        <v>45482</v>
      </c>
      <c r="C1226" s="6">
        <f>HYPERLINK("https://eping.wto.org/en/Search?viewData= G/SPS/N/IND/308"," G/SPS/N/IND/308")</f>
      </c>
      <c r="D1226" s="8" t="s">
        <v>4218</v>
      </c>
      <c r="E1226" s="8" t="s">
        <v>4219</v>
      </c>
      <c r="F1226" s="8" t="s">
        <v>4220</v>
      </c>
      <c r="G1226" s="6" t="s">
        <v>4221</v>
      </c>
      <c r="H1226" s="6" t="s">
        <v>40</v>
      </c>
      <c r="I1226" s="6" t="s">
        <v>852</v>
      </c>
      <c r="J1226" s="6" t="s">
        <v>410</v>
      </c>
      <c r="K1226" s="6" t="s">
        <v>99</v>
      </c>
      <c r="L1226" s="7">
        <v>45542</v>
      </c>
      <c r="M1226" s="6" t="s">
        <v>25</v>
      </c>
      <c r="N1226" s="8" t="s">
        <v>4222</v>
      </c>
      <c r="O1226" s="6">
        <f>HYPERLINK("https://docs.wto.org/imrd/directdoc.asp?DDFDocuments/t/G/SPS/NIND308.DOCX", "https://docs.wto.org/imrd/directdoc.asp?DDFDocuments/t/G/SPS/NIND308.DOCX")</f>
      </c>
      <c r="P1226" s="6">
        <f>HYPERLINK("https://docs.wto.org/imrd/directdoc.asp?DDFDocuments/u/G/SPS/NIND308.DOCX", "https://docs.wto.org/imrd/directdoc.asp?DDFDocuments/u/G/SPS/NIND308.DOCX")</f>
      </c>
      <c r="Q1226" s="6">
        <f>HYPERLINK("https://docs.wto.org/imrd/directdoc.asp?DDFDocuments/v/G/SPS/NIND308.DOCX", "https://docs.wto.org/imrd/directdoc.asp?DDFDocuments/v/G/SPS/NIND308.DOCX")</f>
      </c>
    </row>
    <row r="1227">
      <c r="A1227" s="6" t="s">
        <v>515</v>
      </c>
      <c r="B1227" s="7">
        <v>45482</v>
      </c>
      <c r="C1227" s="6">
        <f>HYPERLINK("https://eping.wto.org/en/Search?viewData= G/SPS/N/EU/783"," G/SPS/N/EU/783")</f>
      </c>
      <c r="D1227" s="8" t="s">
        <v>4223</v>
      </c>
      <c r="E1227" s="8" t="s">
        <v>4224</v>
      </c>
      <c r="F1227" s="8" t="s">
        <v>1667</v>
      </c>
      <c r="G1227" s="6" t="s">
        <v>1033</v>
      </c>
      <c r="H1227" s="6" t="s">
        <v>40</v>
      </c>
      <c r="I1227" s="6" t="s">
        <v>791</v>
      </c>
      <c r="J1227" s="6" t="s">
        <v>792</v>
      </c>
      <c r="K1227" s="6"/>
      <c r="L1227" s="7" t="s">
        <v>40</v>
      </c>
      <c r="M1227" s="6" t="s">
        <v>25</v>
      </c>
      <c r="N1227" s="8" t="s">
        <v>4225</v>
      </c>
      <c r="O1227" s="6">
        <f>HYPERLINK("https://docs.wto.org/imrd/directdoc.asp?DDFDocuments/t/G/SPS/NEU783.DOCX", "https://docs.wto.org/imrd/directdoc.asp?DDFDocuments/t/G/SPS/NEU783.DOCX")</f>
      </c>
      <c r="P1227" s="6">
        <f>HYPERLINK("https://docs.wto.org/imrd/directdoc.asp?DDFDocuments/u/G/SPS/NEU783.DOCX", "https://docs.wto.org/imrd/directdoc.asp?DDFDocuments/u/G/SPS/NEU783.DOCX")</f>
      </c>
      <c r="Q1227" s="6">
        <f>HYPERLINK("https://docs.wto.org/imrd/directdoc.asp?DDFDocuments/v/G/SPS/NEU783.DOCX", "https://docs.wto.org/imrd/directdoc.asp?DDFDocuments/v/G/SPS/NEU783.DOCX")</f>
      </c>
    </row>
    <row r="1228">
      <c r="A1228" s="6" t="s">
        <v>515</v>
      </c>
      <c r="B1228" s="7">
        <v>45482</v>
      </c>
      <c r="C1228" s="6">
        <f>HYPERLINK("https://eping.wto.org/en/Search?viewData= G/SPS/N/EU/784"," G/SPS/N/EU/784")</f>
      </c>
      <c r="D1228" s="8" t="s">
        <v>4226</v>
      </c>
      <c r="E1228" s="8" t="s">
        <v>4227</v>
      </c>
      <c r="F1228" s="8" t="s">
        <v>1667</v>
      </c>
      <c r="G1228" s="6" t="s">
        <v>1033</v>
      </c>
      <c r="H1228" s="6" t="s">
        <v>40</v>
      </c>
      <c r="I1228" s="6" t="s">
        <v>791</v>
      </c>
      <c r="J1228" s="6" t="s">
        <v>792</v>
      </c>
      <c r="K1228" s="6"/>
      <c r="L1228" s="7" t="s">
        <v>40</v>
      </c>
      <c r="M1228" s="6" t="s">
        <v>25</v>
      </c>
      <c r="N1228" s="8" t="s">
        <v>4228</v>
      </c>
      <c r="O1228" s="6">
        <f>HYPERLINK("https://docs.wto.org/imrd/directdoc.asp?DDFDocuments/t/G/SPS/NEU784.DOCX", "https://docs.wto.org/imrd/directdoc.asp?DDFDocuments/t/G/SPS/NEU784.DOCX")</f>
      </c>
      <c r="P1228" s="6">
        <f>HYPERLINK("https://docs.wto.org/imrd/directdoc.asp?DDFDocuments/u/G/SPS/NEU784.DOCX", "https://docs.wto.org/imrd/directdoc.asp?DDFDocuments/u/G/SPS/NEU784.DOCX")</f>
      </c>
      <c r="Q1228" s="6">
        <f>HYPERLINK("https://docs.wto.org/imrd/directdoc.asp?DDFDocuments/v/G/SPS/NEU784.DOCX", "https://docs.wto.org/imrd/directdoc.asp?DDFDocuments/v/G/SPS/NEU784.DOCX")</f>
      </c>
    </row>
    <row r="1229">
      <c r="A1229" s="6" t="s">
        <v>515</v>
      </c>
      <c r="B1229" s="7">
        <v>45482</v>
      </c>
      <c r="C1229" s="6">
        <f>HYPERLINK("https://eping.wto.org/en/Search?viewData= G/SPS/N/EU/785"," G/SPS/N/EU/785")</f>
      </c>
      <c r="D1229" s="8" t="s">
        <v>4229</v>
      </c>
      <c r="E1229" s="8" t="s">
        <v>4230</v>
      </c>
      <c r="F1229" s="8" t="s">
        <v>1667</v>
      </c>
      <c r="G1229" s="6" t="s">
        <v>1033</v>
      </c>
      <c r="H1229" s="6" t="s">
        <v>40</v>
      </c>
      <c r="I1229" s="6" t="s">
        <v>791</v>
      </c>
      <c r="J1229" s="6" t="s">
        <v>792</v>
      </c>
      <c r="K1229" s="6"/>
      <c r="L1229" s="7" t="s">
        <v>40</v>
      </c>
      <c r="M1229" s="6" t="s">
        <v>25</v>
      </c>
      <c r="N1229" s="8" t="s">
        <v>4231</v>
      </c>
      <c r="O1229" s="6">
        <f>HYPERLINK("https://docs.wto.org/imrd/directdoc.asp?DDFDocuments/t/G/SPS/NEU785.DOCX", "https://docs.wto.org/imrd/directdoc.asp?DDFDocuments/t/G/SPS/NEU785.DOCX")</f>
      </c>
      <c r="P1229" s="6">
        <f>HYPERLINK("https://docs.wto.org/imrd/directdoc.asp?DDFDocuments/u/G/SPS/NEU785.DOCX", "https://docs.wto.org/imrd/directdoc.asp?DDFDocuments/u/G/SPS/NEU785.DOCX")</f>
      </c>
      <c r="Q1229" s="6">
        <f>HYPERLINK("https://docs.wto.org/imrd/directdoc.asp?DDFDocuments/v/G/SPS/NEU785.DOCX", "https://docs.wto.org/imrd/directdoc.asp?DDFDocuments/v/G/SPS/NEU785.DOCX")</f>
      </c>
    </row>
    <row r="1230">
      <c r="A1230" s="6" t="s">
        <v>198</v>
      </c>
      <c r="B1230" s="7">
        <v>45482</v>
      </c>
      <c r="C1230" s="6">
        <f>HYPERLINK("https://eping.wto.org/en/Search?viewData= G/SPS/N/CHL/794"," G/SPS/N/CHL/794")</f>
      </c>
      <c r="D1230" s="8" t="s">
        <v>4232</v>
      </c>
      <c r="E1230" s="8" t="s">
        <v>4233</v>
      </c>
      <c r="F1230" s="8" t="s">
        <v>4234</v>
      </c>
      <c r="G1230" s="6" t="s">
        <v>4235</v>
      </c>
      <c r="H1230" s="6" t="s">
        <v>40</v>
      </c>
      <c r="I1230" s="6" t="s">
        <v>353</v>
      </c>
      <c r="J1230" s="6" t="s">
        <v>4236</v>
      </c>
      <c r="K1230" s="6" t="s">
        <v>40</v>
      </c>
      <c r="L1230" s="7">
        <v>45542</v>
      </c>
      <c r="M1230" s="6" t="s">
        <v>25</v>
      </c>
      <c r="N1230" s="8" t="s">
        <v>4237</v>
      </c>
      <c r="O1230" s="6">
        <f>HYPERLINK("https://docs.wto.org/imrd/directdoc.asp?DDFDocuments/t/G/SPS/NCHL794.DOCX", "https://docs.wto.org/imrd/directdoc.asp?DDFDocuments/t/G/SPS/NCHL794.DOCX")</f>
      </c>
      <c r="P1230" s="6">
        <f>HYPERLINK("https://docs.wto.org/imrd/directdoc.asp?DDFDocuments/u/G/SPS/NCHL794.DOCX", "https://docs.wto.org/imrd/directdoc.asp?DDFDocuments/u/G/SPS/NCHL794.DOCX")</f>
      </c>
      <c r="Q1230" s="6">
        <f>HYPERLINK("https://docs.wto.org/imrd/directdoc.asp?DDFDocuments/v/G/SPS/NCHL794.DOCX", "https://docs.wto.org/imrd/directdoc.asp?DDFDocuments/v/G/SPS/NCHL794.DOCX")</f>
      </c>
    </row>
    <row r="1231">
      <c r="A1231" s="6" t="s">
        <v>129</v>
      </c>
      <c r="B1231" s="7">
        <v>45481</v>
      </c>
      <c r="C1231" s="6">
        <f>HYPERLINK("https://eping.wto.org/en/Search?viewData= G/TBT/N/IND/330"," G/TBT/N/IND/330")</f>
      </c>
      <c r="D1231" s="8" t="s">
        <v>4238</v>
      </c>
      <c r="E1231" s="8" t="s">
        <v>4239</v>
      </c>
      <c r="F1231" s="8" t="s">
        <v>4240</v>
      </c>
      <c r="G1231" s="6" t="s">
        <v>4241</v>
      </c>
      <c r="H1231" s="6" t="s">
        <v>177</v>
      </c>
      <c r="I1231" s="6" t="s">
        <v>4242</v>
      </c>
      <c r="J1231" s="6" t="s">
        <v>178</v>
      </c>
      <c r="K1231" s="6"/>
      <c r="L1231" s="7" t="s">
        <v>40</v>
      </c>
      <c r="M1231" s="6" t="s">
        <v>25</v>
      </c>
      <c r="N1231" s="8" t="s">
        <v>4243</v>
      </c>
      <c r="O1231" s="6">
        <f>HYPERLINK("https://docs.wto.org/imrd/directdoc.asp?DDFDocuments/t/G/TBTN24/IND330.DOCX", "https://docs.wto.org/imrd/directdoc.asp?DDFDocuments/t/G/TBTN24/IND330.DOCX")</f>
      </c>
      <c r="P1231" s="6">
        <f>HYPERLINK("https://docs.wto.org/imrd/directdoc.asp?DDFDocuments/u/G/TBTN24/IND330.DOCX", "https://docs.wto.org/imrd/directdoc.asp?DDFDocuments/u/G/TBTN24/IND330.DOCX")</f>
      </c>
      <c r="Q1231" s="6">
        <f>HYPERLINK("https://docs.wto.org/imrd/directdoc.asp?DDFDocuments/v/G/TBTN24/IND330.DOCX", "https://docs.wto.org/imrd/directdoc.asp?DDFDocuments/v/G/TBTN24/IND330.DOCX")</f>
      </c>
    </row>
    <row r="1232">
      <c r="A1232" s="6" t="s">
        <v>515</v>
      </c>
      <c r="B1232" s="7">
        <v>45481</v>
      </c>
      <c r="C1232" s="6">
        <f>HYPERLINK("https://eping.wto.org/en/Search?viewData= G/SPS/N/EU/781"," G/SPS/N/EU/781")</f>
      </c>
      <c r="D1232" s="8" t="s">
        <v>4244</v>
      </c>
      <c r="E1232" s="8" t="s">
        <v>4245</v>
      </c>
      <c r="F1232" s="8" t="s">
        <v>4246</v>
      </c>
      <c r="G1232" s="6" t="s">
        <v>4247</v>
      </c>
      <c r="H1232" s="6" t="s">
        <v>40</v>
      </c>
      <c r="I1232" s="6" t="s">
        <v>353</v>
      </c>
      <c r="J1232" s="6" t="s">
        <v>915</v>
      </c>
      <c r="K1232" s="6"/>
      <c r="L1232" s="7">
        <v>45541</v>
      </c>
      <c r="M1232" s="6" t="s">
        <v>25</v>
      </c>
      <c r="N1232" s="8" t="s">
        <v>4248</v>
      </c>
      <c r="O1232" s="6">
        <f>HYPERLINK("https://docs.wto.org/imrd/directdoc.asp?DDFDocuments/t/G/SPS/NEU781.DOCX", "https://docs.wto.org/imrd/directdoc.asp?DDFDocuments/t/G/SPS/NEU781.DOCX")</f>
      </c>
      <c r="P1232" s="6">
        <f>HYPERLINK("https://docs.wto.org/imrd/directdoc.asp?DDFDocuments/u/G/SPS/NEU781.DOCX", "https://docs.wto.org/imrd/directdoc.asp?DDFDocuments/u/G/SPS/NEU781.DOCX")</f>
      </c>
      <c r="Q1232" s="6">
        <f>HYPERLINK("https://docs.wto.org/imrd/directdoc.asp?DDFDocuments/v/G/SPS/NEU781.DOCX", "https://docs.wto.org/imrd/directdoc.asp?DDFDocuments/v/G/SPS/NEU781.DOCX")</f>
      </c>
    </row>
    <row r="1233">
      <c r="A1233" s="6" t="s">
        <v>99</v>
      </c>
      <c r="B1233" s="7">
        <v>45481</v>
      </c>
      <c r="C1233" s="6">
        <f>HYPERLINK("https://eping.wto.org/en/Search?viewData= G/SPS/N/AUS/590"," G/SPS/N/AUS/590")</f>
      </c>
      <c r="D1233" s="8" t="s">
        <v>4249</v>
      </c>
      <c r="E1233" s="8" t="s">
        <v>4250</v>
      </c>
      <c r="F1233" s="8" t="s">
        <v>4251</v>
      </c>
      <c r="G1233" s="6" t="s">
        <v>40</v>
      </c>
      <c r="H1233" s="6" t="s">
        <v>40</v>
      </c>
      <c r="I1233" s="6" t="s">
        <v>369</v>
      </c>
      <c r="J1233" s="6" t="s">
        <v>690</v>
      </c>
      <c r="K1233" s="6" t="s">
        <v>40</v>
      </c>
      <c r="L1233" s="7">
        <v>45541</v>
      </c>
      <c r="M1233" s="6" t="s">
        <v>25</v>
      </c>
      <c r="N1233" s="8" t="s">
        <v>4252</v>
      </c>
      <c r="O1233" s="6">
        <f>HYPERLINK("https://docs.wto.org/imrd/directdoc.asp?DDFDocuments/t/G/SPS/NAUS590.DOCX", "https://docs.wto.org/imrd/directdoc.asp?DDFDocuments/t/G/SPS/NAUS590.DOCX")</f>
      </c>
      <c r="P1233" s="6">
        <f>HYPERLINK("https://docs.wto.org/imrd/directdoc.asp?DDFDocuments/u/G/SPS/NAUS590.DOCX", "https://docs.wto.org/imrd/directdoc.asp?DDFDocuments/u/G/SPS/NAUS590.DOCX")</f>
      </c>
      <c r="Q1233" s="6">
        <f>HYPERLINK("https://docs.wto.org/imrd/directdoc.asp?DDFDocuments/v/G/SPS/NAUS590.DOCX", "https://docs.wto.org/imrd/directdoc.asp?DDFDocuments/v/G/SPS/NAUS590.DOCX")</f>
      </c>
    </row>
    <row r="1234">
      <c r="A1234" s="6" t="s">
        <v>2949</v>
      </c>
      <c r="B1234" s="7">
        <v>45481</v>
      </c>
      <c r="C1234" s="6">
        <f>HYPERLINK("https://eping.wto.org/en/Search?viewData= G/TBT/N/JAM/124"," G/TBT/N/JAM/124")</f>
      </c>
      <c r="D1234" s="8" t="s">
        <v>4253</v>
      </c>
      <c r="E1234" s="8" t="s">
        <v>4254</v>
      </c>
      <c r="F1234" s="8" t="s">
        <v>4255</v>
      </c>
      <c r="G1234" s="6" t="s">
        <v>4256</v>
      </c>
      <c r="H1234" s="6" t="s">
        <v>4257</v>
      </c>
      <c r="I1234" s="6" t="s">
        <v>165</v>
      </c>
      <c r="J1234" s="6" t="s">
        <v>40</v>
      </c>
      <c r="K1234" s="6"/>
      <c r="L1234" s="7" t="s">
        <v>40</v>
      </c>
      <c r="M1234" s="6" t="s">
        <v>25</v>
      </c>
      <c r="N1234" s="8" t="s">
        <v>4258</v>
      </c>
      <c r="O1234" s="6">
        <f>HYPERLINK("https://docs.wto.org/imrd/directdoc.asp?DDFDocuments/t/G/TBTN24/JAM124.DOCX", "https://docs.wto.org/imrd/directdoc.asp?DDFDocuments/t/G/TBTN24/JAM124.DOCX")</f>
      </c>
      <c r="P1234" s="6">
        <f>HYPERLINK("https://docs.wto.org/imrd/directdoc.asp?DDFDocuments/u/G/TBTN24/JAM124.DOCX", "https://docs.wto.org/imrd/directdoc.asp?DDFDocuments/u/G/TBTN24/JAM124.DOCX")</f>
      </c>
      <c r="Q1234" s="6">
        <f>HYPERLINK("https://docs.wto.org/imrd/directdoc.asp?DDFDocuments/v/G/TBTN24/JAM124.DOCX", "https://docs.wto.org/imrd/directdoc.asp?DDFDocuments/v/G/TBTN24/JAM124.DOCX")</f>
      </c>
    </row>
    <row r="1235">
      <c r="A1235" s="6" t="s">
        <v>584</v>
      </c>
      <c r="B1235" s="7">
        <v>45481</v>
      </c>
      <c r="C1235" s="6">
        <f>HYPERLINK("https://eping.wto.org/en/Search?viewData= G/SPS/N/GBR/66"," G/SPS/N/GBR/66")</f>
      </c>
      <c r="D1235" s="8" t="s">
        <v>4259</v>
      </c>
      <c r="E1235" s="8" t="s">
        <v>4260</v>
      </c>
      <c r="F1235" s="8" t="s">
        <v>4261</v>
      </c>
      <c r="G1235" s="6" t="s">
        <v>40</v>
      </c>
      <c r="H1235" s="6" t="s">
        <v>40</v>
      </c>
      <c r="I1235" s="6" t="s">
        <v>38</v>
      </c>
      <c r="J1235" s="6" t="s">
        <v>60</v>
      </c>
      <c r="K1235" s="6" t="s">
        <v>40</v>
      </c>
      <c r="L1235" s="7" t="s">
        <v>40</v>
      </c>
      <c r="M1235" s="6" t="s">
        <v>25</v>
      </c>
      <c r="N1235" s="8" t="s">
        <v>4262</v>
      </c>
      <c r="O1235" s="6">
        <f>HYPERLINK("https://docs.wto.org/imrd/directdoc.asp?DDFDocuments/t/G/SPS/NGBR66.DOCX", "https://docs.wto.org/imrd/directdoc.asp?DDFDocuments/t/G/SPS/NGBR66.DOCX")</f>
      </c>
      <c r="P1235" s="6">
        <f>HYPERLINK("https://docs.wto.org/imrd/directdoc.asp?DDFDocuments/u/G/SPS/NGBR66.DOCX", "https://docs.wto.org/imrd/directdoc.asp?DDFDocuments/u/G/SPS/NGBR66.DOCX")</f>
      </c>
      <c r="Q1235" s="6">
        <f>HYPERLINK("https://docs.wto.org/imrd/directdoc.asp?DDFDocuments/v/G/SPS/NGBR66.DOCX", "https://docs.wto.org/imrd/directdoc.asp?DDFDocuments/v/G/SPS/NGBR66.DOCX")</f>
      </c>
    </row>
    <row r="1236">
      <c r="A1236" s="6" t="s">
        <v>2949</v>
      </c>
      <c r="B1236" s="7">
        <v>45481</v>
      </c>
      <c r="C1236" s="6">
        <f>HYPERLINK("https://eping.wto.org/en/Search?viewData= G/TBT/N/JAM/123"," G/TBT/N/JAM/123")</f>
      </c>
      <c r="D1236" s="8" t="s">
        <v>4263</v>
      </c>
      <c r="E1236" s="8" t="s">
        <v>4264</v>
      </c>
      <c r="F1236" s="8" t="s">
        <v>4265</v>
      </c>
      <c r="G1236" s="6" t="s">
        <v>4256</v>
      </c>
      <c r="H1236" s="6" t="s">
        <v>4266</v>
      </c>
      <c r="I1236" s="6" t="s">
        <v>165</v>
      </c>
      <c r="J1236" s="6" t="s">
        <v>40</v>
      </c>
      <c r="K1236" s="6"/>
      <c r="L1236" s="7" t="s">
        <v>40</v>
      </c>
      <c r="M1236" s="6" t="s">
        <v>25</v>
      </c>
      <c r="N1236" s="8" t="s">
        <v>4267</v>
      </c>
      <c r="O1236" s="6">
        <f>HYPERLINK("https://docs.wto.org/imrd/directdoc.asp?DDFDocuments/t/G/TBTN24/JAM123.DOCX", "https://docs.wto.org/imrd/directdoc.asp?DDFDocuments/t/G/TBTN24/JAM123.DOCX")</f>
      </c>
      <c r="P1236" s="6">
        <f>HYPERLINK("https://docs.wto.org/imrd/directdoc.asp?DDFDocuments/u/G/TBTN24/JAM123.DOCX", "https://docs.wto.org/imrd/directdoc.asp?DDFDocuments/u/G/TBTN24/JAM123.DOCX")</f>
      </c>
      <c r="Q1236" s="6">
        <f>HYPERLINK("https://docs.wto.org/imrd/directdoc.asp?DDFDocuments/v/G/TBTN24/JAM123.DOCX", "https://docs.wto.org/imrd/directdoc.asp?DDFDocuments/v/G/TBTN24/JAM123.DOCX")</f>
      </c>
    </row>
    <row r="1237">
      <c r="A1237" s="6" t="s">
        <v>160</v>
      </c>
      <c r="B1237" s="7">
        <v>45481</v>
      </c>
      <c r="C1237" s="6">
        <f>HYPERLINK("https://eping.wto.org/en/Search?viewData= G/TBT/N/USA/2130"," G/TBT/N/USA/2130")</f>
      </c>
      <c r="D1237" s="8" t="s">
        <v>4268</v>
      </c>
      <c r="E1237" s="8" t="s">
        <v>4269</v>
      </c>
      <c r="F1237" s="8" t="s">
        <v>4270</v>
      </c>
      <c r="G1237" s="6" t="s">
        <v>40</v>
      </c>
      <c r="H1237" s="6" t="s">
        <v>4271</v>
      </c>
      <c r="I1237" s="6" t="s">
        <v>4272</v>
      </c>
      <c r="J1237" s="6" t="s">
        <v>40</v>
      </c>
      <c r="K1237" s="6"/>
      <c r="L1237" s="7">
        <v>45568</v>
      </c>
      <c r="M1237" s="6" t="s">
        <v>25</v>
      </c>
      <c r="N1237" s="8" t="s">
        <v>4273</v>
      </c>
      <c r="O1237" s="6">
        <f>HYPERLINK("https://docs.wto.org/imrd/directdoc.asp?DDFDocuments/t/G/TBTN24/USA2130.DOCX", "https://docs.wto.org/imrd/directdoc.asp?DDFDocuments/t/G/TBTN24/USA2130.DOCX")</f>
      </c>
      <c r="P1237" s="6">
        <f>HYPERLINK("https://docs.wto.org/imrd/directdoc.asp?DDFDocuments/u/G/TBTN24/USA2130.DOCX", "https://docs.wto.org/imrd/directdoc.asp?DDFDocuments/u/G/TBTN24/USA2130.DOCX")</f>
      </c>
      <c r="Q1237" s="6">
        <f>HYPERLINK("https://docs.wto.org/imrd/directdoc.asp?DDFDocuments/v/G/TBTN24/USA2130.DOCX", "https://docs.wto.org/imrd/directdoc.asp?DDFDocuments/v/G/TBTN24/USA2130.DOCX")</f>
      </c>
    </row>
    <row r="1238">
      <c r="A1238" s="6" t="s">
        <v>515</v>
      </c>
      <c r="B1238" s="7">
        <v>45481</v>
      </c>
      <c r="C1238" s="6">
        <f>HYPERLINK("https://eping.wto.org/en/Search?viewData= G/SPS/N/EU/782"," G/SPS/N/EU/782")</f>
      </c>
      <c r="D1238" s="8" t="s">
        <v>4274</v>
      </c>
      <c r="E1238" s="8" t="s">
        <v>4275</v>
      </c>
      <c r="F1238" s="8" t="s">
        <v>1667</v>
      </c>
      <c r="G1238" s="6" t="s">
        <v>1033</v>
      </c>
      <c r="H1238" s="6" t="s">
        <v>40</v>
      </c>
      <c r="I1238" s="6" t="s">
        <v>791</v>
      </c>
      <c r="J1238" s="6" t="s">
        <v>792</v>
      </c>
      <c r="K1238" s="6"/>
      <c r="L1238" s="7" t="s">
        <v>40</v>
      </c>
      <c r="M1238" s="6" t="s">
        <v>25</v>
      </c>
      <c r="N1238" s="8" t="s">
        <v>4276</v>
      </c>
      <c r="O1238" s="6">
        <f>HYPERLINK("https://docs.wto.org/imrd/directdoc.asp?DDFDocuments/t/G/SPS/NEU782.DOCX", "https://docs.wto.org/imrd/directdoc.asp?DDFDocuments/t/G/SPS/NEU782.DOCX")</f>
      </c>
      <c r="P1238" s="6">
        <f>HYPERLINK("https://docs.wto.org/imrd/directdoc.asp?DDFDocuments/u/G/SPS/NEU782.DOCX", "https://docs.wto.org/imrd/directdoc.asp?DDFDocuments/u/G/SPS/NEU782.DOCX")</f>
      </c>
      <c r="Q1238" s="6">
        <f>HYPERLINK("https://docs.wto.org/imrd/directdoc.asp?DDFDocuments/v/G/SPS/NEU782.DOCX", "https://docs.wto.org/imrd/directdoc.asp?DDFDocuments/v/G/SPS/NEU782.DOCX")</f>
      </c>
    </row>
    <row r="1239">
      <c r="A1239" s="6" t="s">
        <v>419</v>
      </c>
      <c r="B1239" s="7">
        <v>45481</v>
      </c>
      <c r="C1239" s="6">
        <f>HYPERLINK("https://eping.wto.org/en/Search?viewData= G/TBT/N/JPN/820"," G/TBT/N/JPN/820")</f>
      </c>
      <c r="D1239" s="8" t="s">
        <v>4277</v>
      </c>
      <c r="E1239" s="8" t="s">
        <v>4278</v>
      </c>
      <c r="F1239" s="8" t="s">
        <v>4279</v>
      </c>
      <c r="G1239" s="6" t="s">
        <v>40</v>
      </c>
      <c r="H1239" s="6" t="s">
        <v>4280</v>
      </c>
      <c r="I1239" s="6" t="s">
        <v>3394</v>
      </c>
      <c r="J1239" s="6" t="s">
        <v>40</v>
      </c>
      <c r="K1239" s="6"/>
      <c r="L1239" s="7">
        <v>45541</v>
      </c>
      <c r="M1239" s="6" t="s">
        <v>25</v>
      </c>
      <c r="N1239" s="8" t="s">
        <v>4281</v>
      </c>
      <c r="O1239" s="6">
        <f>HYPERLINK("https://docs.wto.org/imrd/directdoc.asp?DDFDocuments/t/G/TBTN24/JPN820.DOCX", "https://docs.wto.org/imrd/directdoc.asp?DDFDocuments/t/G/TBTN24/JPN820.DOCX")</f>
      </c>
      <c r="P1239" s="6">
        <f>HYPERLINK("https://docs.wto.org/imrd/directdoc.asp?DDFDocuments/u/G/TBTN24/JPN820.DOCX", "https://docs.wto.org/imrd/directdoc.asp?DDFDocuments/u/G/TBTN24/JPN820.DOCX")</f>
      </c>
      <c r="Q1239" s="6">
        <f>HYPERLINK("https://docs.wto.org/imrd/directdoc.asp?DDFDocuments/v/G/TBTN24/JPN820.DOCX", "https://docs.wto.org/imrd/directdoc.asp?DDFDocuments/v/G/TBTN24/JPN820.DOCX")</f>
      </c>
    </row>
    <row r="1240">
      <c r="A1240" s="6" t="s">
        <v>160</v>
      </c>
      <c r="B1240" s="7">
        <v>45481</v>
      </c>
      <c r="C1240" s="6">
        <f>HYPERLINK("https://eping.wto.org/en/Search?viewData= G/SPS/N/USA/3461"," G/SPS/N/USA/3461")</f>
      </c>
      <c r="D1240" s="8" t="s">
        <v>4282</v>
      </c>
      <c r="E1240" s="8" t="s">
        <v>4283</v>
      </c>
      <c r="F1240" s="8" t="s">
        <v>479</v>
      </c>
      <c r="G1240" s="6" t="s">
        <v>40</v>
      </c>
      <c r="H1240" s="6" t="s">
        <v>40</v>
      </c>
      <c r="I1240" s="6" t="s">
        <v>38</v>
      </c>
      <c r="J1240" s="6" t="s">
        <v>103</v>
      </c>
      <c r="K1240" s="6"/>
      <c r="L1240" s="7">
        <v>45504</v>
      </c>
      <c r="M1240" s="6" t="s">
        <v>25</v>
      </c>
      <c r="N1240" s="8" t="s">
        <v>4284</v>
      </c>
      <c r="O1240" s="6">
        <f>HYPERLINK("https://docs.wto.org/imrd/directdoc.asp?DDFDocuments/t/G/SPS/NUSA3461.DOCX", "https://docs.wto.org/imrd/directdoc.asp?DDFDocuments/t/G/SPS/NUSA3461.DOCX")</f>
      </c>
      <c r="P1240" s="6">
        <f>HYPERLINK("https://docs.wto.org/imrd/directdoc.asp?DDFDocuments/u/G/SPS/NUSA3461.DOCX", "https://docs.wto.org/imrd/directdoc.asp?DDFDocuments/u/G/SPS/NUSA3461.DOCX")</f>
      </c>
      <c r="Q1240" s="6">
        <f>HYPERLINK("https://docs.wto.org/imrd/directdoc.asp?DDFDocuments/v/G/SPS/NUSA3461.DOCX", "https://docs.wto.org/imrd/directdoc.asp?DDFDocuments/v/G/SPS/NUSA3461.DOCX")</f>
      </c>
    </row>
    <row r="1241">
      <c r="A1241" s="6" t="s">
        <v>392</v>
      </c>
      <c r="B1241" s="7">
        <v>45481</v>
      </c>
      <c r="C1241" s="6">
        <f>HYPERLINK("https://eping.wto.org/en/Search?viewData= G/TBT/N/SAU/1338"," G/TBT/N/SAU/1338")</f>
      </c>
      <c r="D1241" s="8" t="s">
        <v>4285</v>
      </c>
      <c r="E1241" s="8" t="s">
        <v>4286</v>
      </c>
      <c r="F1241" s="8" t="s">
        <v>4287</v>
      </c>
      <c r="G1241" s="6" t="s">
        <v>4288</v>
      </c>
      <c r="H1241" s="6" t="s">
        <v>4289</v>
      </c>
      <c r="I1241" s="6" t="s">
        <v>4290</v>
      </c>
      <c r="J1241" s="6" t="s">
        <v>40</v>
      </c>
      <c r="K1241" s="6"/>
      <c r="L1241" s="7">
        <v>45541</v>
      </c>
      <c r="M1241" s="6" t="s">
        <v>25</v>
      </c>
      <c r="N1241" s="8" t="s">
        <v>4291</v>
      </c>
      <c r="O1241" s="6">
        <f>HYPERLINK("https://docs.wto.org/imrd/directdoc.asp?DDFDocuments/t/G/TBTN24/SAU1338.DOCX", "https://docs.wto.org/imrd/directdoc.asp?DDFDocuments/t/G/TBTN24/SAU1338.DOCX")</f>
      </c>
      <c r="P1241" s="6">
        <f>HYPERLINK("https://docs.wto.org/imrd/directdoc.asp?DDFDocuments/u/G/TBTN24/SAU1338.DOCX", "https://docs.wto.org/imrd/directdoc.asp?DDFDocuments/u/G/TBTN24/SAU1338.DOCX")</f>
      </c>
      <c r="Q1241" s="6">
        <f>HYPERLINK("https://docs.wto.org/imrd/directdoc.asp?DDFDocuments/v/G/TBTN24/SAU1338.DOCX", "https://docs.wto.org/imrd/directdoc.asp?DDFDocuments/v/G/TBTN24/SAU1338.DOCX")</f>
      </c>
    </row>
    <row r="1242">
      <c r="A1242" s="6" t="s">
        <v>880</v>
      </c>
      <c r="B1242" s="7">
        <v>45478</v>
      </c>
      <c r="C1242" s="6">
        <f>HYPERLINK("https://eping.wto.org/en/Search?viewData= G/SPS/N/BDI/41/Add.1, G/SPS/N/KEN/197/Add.1, G/SPS/N/RWA/34/Add.1, G/SPS/N/TZA/255/Add.1, G/SPS/N/UGA/238/Add.1"," G/SPS/N/BDI/41/Add.1, G/SPS/N/KEN/197/Add.1, G/SPS/N/RWA/34/Add.1, G/SPS/N/TZA/255/Add.1, G/SPS/N/UGA/238/Add.1")</f>
      </c>
      <c r="D1242" s="8" t="s">
        <v>4292</v>
      </c>
      <c r="E1242" s="8" t="s">
        <v>4293</v>
      </c>
      <c r="F1242" s="8" t="s">
        <v>4294</v>
      </c>
      <c r="G1242" s="6" t="s">
        <v>4295</v>
      </c>
      <c r="H1242" s="6" t="s">
        <v>320</v>
      </c>
      <c r="I1242" s="6" t="s">
        <v>38</v>
      </c>
      <c r="J1242" s="6" t="s">
        <v>1663</v>
      </c>
      <c r="K1242" s="6"/>
      <c r="L1242" s="7" t="s">
        <v>40</v>
      </c>
      <c r="M1242" s="6" t="s">
        <v>76</v>
      </c>
      <c r="N1242" s="6"/>
      <c r="O1242" s="6">
        <f>HYPERLINK("https://docs.wto.org/imrd/directdoc.asp?DDFDocuments/t/G/SPS/NBDI41A1.DOCX", "https://docs.wto.org/imrd/directdoc.asp?DDFDocuments/t/G/SPS/NBDI41A1.DOCX")</f>
      </c>
      <c r="P1242" s="6">
        <f>HYPERLINK("https://docs.wto.org/imrd/directdoc.asp?DDFDocuments/u/G/SPS/NBDI41A1.DOCX", "https://docs.wto.org/imrd/directdoc.asp?DDFDocuments/u/G/SPS/NBDI41A1.DOCX")</f>
      </c>
      <c r="Q1242" s="6">
        <f>HYPERLINK("https://docs.wto.org/imrd/directdoc.asp?DDFDocuments/v/G/SPS/NBDI41A1.DOCX", "https://docs.wto.org/imrd/directdoc.asp?DDFDocuments/v/G/SPS/NBDI41A1.DOCX")</f>
      </c>
    </row>
    <row r="1243">
      <c r="A1243" s="6" t="s">
        <v>2030</v>
      </c>
      <c r="B1243" s="7">
        <v>45478</v>
      </c>
      <c r="C1243" s="6">
        <f>HYPERLINK("https://eping.wto.org/en/Search?viewData= G/SPS/N/BDI/46/Add.1, G/SPS/N/KEN/202/Add.1, G/SPS/N/RWA/39/Add.1, G/SPS/N/TZA/260/Add.1, G/SPS/N/UGA/243/Add.1"," G/SPS/N/BDI/46/Add.1, G/SPS/N/KEN/202/Add.1, G/SPS/N/RWA/39/Add.1, G/SPS/N/TZA/260/Add.1, G/SPS/N/UGA/243/Add.1")</f>
      </c>
      <c r="D1243" s="8" t="s">
        <v>4296</v>
      </c>
      <c r="E1243" s="8" t="s">
        <v>4297</v>
      </c>
      <c r="F1243" s="8" t="s">
        <v>4298</v>
      </c>
      <c r="G1243" s="6" t="s">
        <v>4299</v>
      </c>
      <c r="H1243" s="6" t="s">
        <v>3048</v>
      </c>
      <c r="I1243" s="6" t="s">
        <v>791</v>
      </c>
      <c r="J1243" s="6" t="s">
        <v>4300</v>
      </c>
      <c r="K1243" s="6"/>
      <c r="L1243" s="7" t="s">
        <v>40</v>
      </c>
      <c r="M1243" s="6" t="s">
        <v>76</v>
      </c>
      <c r="N1243" s="6"/>
      <c r="O1243" s="6">
        <f>HYPERLINK("https://docs.wto.org/imrd/directdoc.asp?DDFDocuments/t/G/SPS/NBDI46A1.DOCX", "https://docs.wto.org/imrd/directdoc.asp?DDFDocuments/t/G/SPS/NBDI46A1.DOCX")</f>
      </c>
      <c r="P1243" s="6">
        <f>HYPERLINK("https://docs.wto.org/imrd/directdoc.asp?DDFDocuments/u/G/SPS/NBDI46A1.DOCX", "https://docs.wto.org/imrd/directdoc.asp?DDFDocuments/u/G/SPS/NBDI46A1.DOCX")</f>
      </c>
      <c r="Q1243" s="6">
        <f>HYPERLINK("https://docs.wto.org/imrd/directdoc.asp?DDFDocuments/v/G/SPS/NBDI46A1.DOCX", "https://docs.wto.org/imrd/directdoc.asp?DDFDocuments/v/G/SPS/NBDI46A1.DOCX")</f>
      </c>
    </row>
    <row r="1244">
      <c r="A1244" s="6" t="s">
        <v>2030</v>
      </c>
      <c r="B1244" s="7">
        <v>45478</v>
      </c>
      <c r="C1244" s="6">
        <f>HYPERLINK("https://eping.wto.org/en/Search?viewData= G/SPS/N/BDI/45/Add.1, G/SPS/N/KEN/201/Add.1, G/SPS/N/RWA/38/Add.1, G/SPS/N/TZA/259/Add.1, G/SPS/N/UGA/242/Add.1"," G/SPS/N/BDI/45/Add.1, G/SPS/N/KEN/201/Add.1, G/SPS/N/RWA/38/Add.1, G/SPS/N/TZA/259/Add.1, G/SPS/N/UGA/242/Add.1")</f>
      </c>
      <c r="D1244" s="8" t="s">
        <v>4301</v>
      </c>
      <c r="E1244" s="8" t="s">
        <v>4302</v>
      </c>
      <c r="F1244" s="8" t="s">
        <v>4298</v>
      </c>
      <c r="G1244" s="6" t="s">
        <v>4299</v>
      </c>
      <c r="H1244" s="6" t="s">
        <v>3048</v>
      </c>
      <c r="I1244" s="6" t="s">
        <v>791</v>
      </c>
      <c r="J1244" s="6" t="s">
        <v>4303</v>
      </c>
      <c r="K1244" s="6"/>
      <c r="L1244" s="7" t="s">
        <v>40</v>
      </c>
      <c r="M1244" s="6" t="s">
        <v>76</v>
      </c>
      <c r="N1244" s="6"/>
      <c r="O1244" s="6">
        <f>HYPERLINK("https://docs.wto.org/imrd/directdoc.asp?DDFDocuments/t/G/SPS/NBDI45A1.DOCX", "https://docs.wto.org/imrd/directdoc.asp?DDFDocuments/t/G/SPS/NBDI45A1.DOCX")</f>
      </c>
      <c r="P1244" s="6">
        <f>HYPERLINK("https://docs.wto.org/imrd/directdoc.asp?DDFDocuments/u/G/SPS/NBDI45A1.DOCX", "https://docs.wto.org/imrd/directdoc.asp?DDFDocuments/u/G/SPS/NBDI45A1.DOCX")</f>
      </c>
      <c r="Q1244" s="6">
        <f>HYPERLINK("https://docs.wto.org/imrd/directdoc.asp?DDFDocuments/v/G/SPS/NBDI45A1.DOCX", "https://docs.wto.org/imrd/directdoc.asp?DDFDocuments/v/G/SPS/NBDI45A1.DOCX")</f>
      </c>
    </row>
    <row r="1245">
      <c r="A1245" s="6" t="s">
        <v>2030</v>
      </c>
      <c r="B1245" s="7">
        <v>45478</v>
      </c>
      <c r="C1245" s="6">
        <f>HYPERLINK("https://eping.wto.org/en/Search?viewData= G/SPS/N/BDI/40/Add.1, G/SPS/N/KEN/196/Add.1, G/SPS/N/RWA/33/Add.1, G/SPS/N/TZA/254/Add.1, G/SPS/N/UGA/237/Add.1"," G/SPS/N/BDI/40/Add.1, G/SPS/N/KEN/196/Add.1, G/SPS/N/RWA/33/Add.1, G/SPS/N/TZA/254/Add.1, G/SPS/N/UGA/237/Add.1")</f>
      </c>
      <c r="D1245" s="8" t="s">
        <v>4304</v>
      </c>
      <c r="E1245" s="8" t="s">
        <v>4305</v>
      </c>
      <c r="F1245" s="8" t="s">
        <v>4306</v>
      </c>
      <c r="G1245" s="6" t="s">
        <v>4307</v>
      </c>
      <c r="H1245" s="6" t="s">
        <v>320</v>
      </c>
      <c r="I1245" s="6" t="s">
        <v>38</v>
      </c>
      <c r="J1245" s="6" t="s">
        <v>1663</v>
      </c>
      <c r="K1245" s="6"/>
      <c r="L1245" s="7" t="s">
        <v>40</v>
      </c>
      <c r="M1245" s="6" t="s">
        <v>76</v>
      </c>
      <c r="N1245" s="6"/>
      <c r="O1245" s="6">
        <f>HYPERLINK("https://docs.wto.org/imrd/directdoc.asp?DDFDocuments/t/G/SPS/NBDI40A1.DOCX", "https://docs.wto.org/imrd/directdoc.asp?DDFDocuments/t/G/SPS/NBDI40A1.DOCX")</f>
      </c>
      <c r="P1245" s="6">
        <f>HYPERLINK("https://docs.wto.org/imrd/directdoc.asp?DDFDocuments/u/G/SPS/NBDI40A1.DOCX", "https://docs.wto.org/imrd/directdoc.asp?DDFDocuments/u/G/SPS/NBDI40A1.DOCX")</f>
      </c>
      <c r="Q1245" s="6">
        <f>HYPERLINK("https://docs.wto.org/imrd/directdoc.asp?DDFDocuments/v/G/SPS/NBDI40A1.DOCX", "https://docs.wto.org/imrd/directdoc.asp?DDFDocuments/v/G/SPS/NBDI40A1.DOCX")</f>
      </c>
    </row>
    <row r="1246">
      <c r="A1246" s="6" t="s">
        <v>880</v>
      </c>
      <c r="B1246" s="7">
        <v>45478</v>
      </c>
      <c r="C1246" s="6">
        <f>HYPERLINK("https://eping.wto.org/en/Search?viewData= G/SPS/N/BDI/47/Add.1, G/SPS/N/KEN/203/Add.1, G/SPS/N/RWA/40/Add.1, G/SPS/N/TZA/261/Add.1, G/SPS/N/UGA/244/Add.1"," G/SPS/N/BDI/47/Add.1, G/SPS/N/KEN/203/Add.1, G/SPS/N/RWA/40/Add.1, G/SPS/N/TZA/261/Add.1, G/SPS/N/UGA/244/Add.1")</f>
      </c>
      <c r="D1246" s="8" t="s">
        <v>4308</v>
      </c>
      <c r="E1246" s="8" t="s">
        <v>4309</v>
      </c>
      <c r="F1246" s="8" t="s">
        <v>4298</v>
      </c>
      <c r="G1246" s="6" t="s">
        <v>4299</v>
      </c>
      <c r="H1246" s="6" t="s">
        <v>3048</v>
      </c>
      <c r="I1246" s="6" t="s">
        <v>791</v>
      </c>
      <c r="J1246" s="6" t="s">
        <v>4300</v>
      </c>
      <c r="K1246" s="6"/>
      <c r="L1246" s="7" t="s">
        <v>40</v>
      </c>
      <c r="M1246" s="6" t="s">
        <v>76</v>
      </c>
      <c r="N1246" s="6"/>
      <c r="O1246" s="6">
        <f>HYPERLINK("https://docs.wto.org/imrd/directdoc.asp?DDFDocuments/t/G/SPS/NBDI47A1.DOCX", "https://docs.wto.org/imrd/directdoc.asp?DDFDocuments/t/G/SPS/NBDI47A1.DOCX")</f>
      </c>
      <c r="P1246" s="6">
        <f>HYPERLINK("https://docs.wto.org/imrd/directdoc.asp?DDFDocuments/u/G/SPS/NBDI47A1.DOCX", "https://docs.wto.org/imrd/directdoc.asp?DDFDocuments/u/G/SPS/NBDI47A1.DOCX")</f>
      </c>
      <c r="Q1246" s="6">
        <f>HYPERLINK("https://docs.wto.org/imrd/directdoc.asp?DDFDocuments/v/G/SPS/NBDI47A1.DOCX", "https://docs.wto.org/imrd/directdoc.asp?DDFDocuments/v/G/SPS/NBDI47A1.DOCX")</f>
      </c>
    </row>
    <row r="1247">
      <c r="A1247" s="6" t="s">
        <v>2041</v>
      </c>
      <c r="B1247" s="7">
        <v>45478</v>
      </c>
      <c r="C1247" s="6">
        <f>HYPERLINK("https://eping.wto.org/en/Search?viewData= G/SPS/N/BDI/45/Add.1, G/SPS/N/KEN/201/Add.1, G/SPS/N/RWA/38/Add.1, G/SPS/N/TZA/259/Add.1, G/SPS/N/UGA/242/Add.1"," G/SPS/N/BDI/45/Add.1, G/SPS/N/KEN/201/Add.1, G/SPS/N/RWA/38/Add.1, G/SPS/N/TZA/259/Add.1, G/SPS/N/UGA/242/Add.1")</f>
      </c>
      <c r="D1247" s="8" t="s">
        <v>4301</v>
      </c>
      <c r="E1247" s="8" t="s">
        <v>4302</v>
      </c>
      <c r="F1247" s="8" t="s">
        <v>4298</v>
      </c>
      <c r="G1247" s="6" t="s">
        <v>4299</v>
      </c>
      <c r="H1247" s="6" t="s">
        <v>3048</v>
      </c>
      <c r="I1247" s="6" t="s">
        <v>791</v>
      </c>
      <c r="J1247" s="6" t="s">
        <v>4300</v>
      </c>
      <c r="K1247" s="6"/>
      <c r="L1247" s="7" t="s">
        <v>40</v>
      </c>
      <c r="M1247" s="6" t="s">
        <v>76</v>
      </c>
      <c r="N1247" s="6"/>
      <c r="O1247" s="6">
        <f>HYPERLINK("https://docs.wto.org/imrd/directdoc.asp?DDFDocuments/t/G/SPS/NBDI45A1.DOCX", "https://docs.wto.org/imrd/directdoc.asp?DDFDocuments/t/G/SPS/NBDI45A1.DOCX")</f>
      </c>
      <c r="P1247" s="6">
        <f>HYPERLINK("https://docs.wto.org/imrd/directdoc.asp?DDFDocuments/u/G/SPS/NBDI45A1.DOCX", "https://docs.wto.org/imrd/directdoc.asp?DDFDocuments/u/G/SPS/NBDI45A1.DOCX")</f>
      </c>
      <c r="Q1247" s="6">
        <f>HYPERLINK("https://docs.wto.org/imrd/directdoc.asp?DDFDocuments/v/G/SPS/NBDI45A1.DOCX", "https://docs.wto.org/imrd/directdoc.asp?DDFDocuments/v/G/SPS/NBDI45A1.DOCX")</f>
      </c>
    </row>
    <row r="1248">
      <c r="A1248" s="6" t="s">
        <v>880</v>
      </c>
      <c r="B1248" s="7">
        <v>45478</v>
      </c>
      <c r="C1248" s="6">
        <f>HYPERLINK("https://eping.wto.org/en/Search?viewData= G/SPS/N/BDI/45/Add.1, G/SPS/N/KEN/201/Add.1, G/SPS/N/RWA/38/Add.1, G/SPS/N/TZA/259/Add.1, G/SPS/N/UGA/242/Add.1"," G/SPS/N/BDI/45/Add.1, G/SPS/N/KEN/201/Add.1, G/SPS/N/RWA/38/Add.1, G/SPS/N/TZA/259/Add.1, G/SPS/N/UGA/242/Add.1")</f>
      </c>
      <c r="D1248" s="8" t="s">
        <v>4301</v>
      </c>
      <c r="E1248" s="8" t="s">
        <v>4302</v>
      </c>
      <c r="F1248" s="8" t="s">
        <v>4298</v>
      </c>
      <c r="G1248" s="6" t="s">
        <v>4299</v>
      </c>
      <c r="H1248" s="6" t="s">
        <v>3048</v>
      </c>
      <c r="I1248" s="6" t="s">
        <v>791</v>
      </c>
      <c r="J1248" s="6" t="s">
        <v>4300</v>
      </c>
      <c r="K1248" s="6"/>
      <c r="L1248" s="7" t="s">
        <v>40</v>
      </c>
      <c r="M1248" s="6" t="s">
        <v>76</v>
      </c>
      <c r="N1248" s="6"/>
      <c r="O1248" s="6">
        <f>HYPERLINK("https://docs.wto.org/imrd/directdoc.asp?DDFDocuments/t/G/SPS/NBDI45A1.DOCX", "https://docs.wto.org/imrd/directdoc.asp?DDFDocuments/t/G/SPS/NBDI45A1.DOCX")</f>
      </c>
      <c r="P1248" s="6">
        <f>HYPERLINK("https://docs.wto.org/imrd/directdoc.asp?DDFDocuments/u/G/SPS/NBDI45A1.DOCX", "https://docs.wto.org/imrd/directdoc.asp?DDFDocuments/u/G/SPS/NBDI45A1.DOCX")</f>
      </c>
      <c r="Q1248" s="6">
        <f>HYPERLINK("https://docs.wto.org/imrd/directdoc.asp?DDFDocuments/v/G/SPS/NBDI45A1.DOCX", "https://docs.wto.org/imrd/directdoc.asp?DDFDocuments/v/G/SPS/NBDI45A1.DOCX")</f>
      </c>
    </row>
    <row r="1249">
      <c r="A1249" s="6" t="s">
        <v>17</v>
      </c>
      <c r="B1249" s="7">
        <v>45478</v>
      </c>
      <c r="C1249" s="6">
        <f>HYPERLINK("https://eping.wto.org/en/Search?viewData= G/SPS/N/BDI/44/Add.1, G/SPS/N/KEN/200/Add.1, G/SPS/N/RWA/37/Add.1, G/SPS/N/TZA/258/Add.1, G/SPS/N/UGA/241/Add.1"," G/SPS/N/BDI/44/Add.1, G/SPS/N/KEN/200/Add.1, G/SPS/N/RWA/37/Add.1, G/SPS/N/TZA/258/Add.1, G/SPS/N/UGA/241/Add.1")</f>
      </c>
      <c r="D1249" s="8" t="s">
        <v>4310</v>
      </c>
      <c r="E1249" s="8" t="s">
        <v>4311</v>
      </c>
      <c r="F1249" s="8" t="s">
        <v>4298</v>
      </c>
      <c r="G1249" s="6" t="s">
        <v>4299</v>
      </c>
      <c r="H1249" s="6" t="s">
        <v>3048</v>
      </c>
      <c r="I1249" s="6" t="s">
        <v>791</v>
      </c>
      <c r="J1249" s="6" t="s">
        <v>4300</v>
      </c>
      <c r="K1249" s="6"/>
      <c r="L1249" s="7" t="s">
        <v>40</v>
      </c>
      <c r="M1249" s="6" t="s">
        <v>76</v>
      </c>
      <c r="N1249" s="6"/>
      <c r="O1249" s="6">
        <f>HYPERLINK("https://docs.wto.org/imrd/directdoc.asp?DDFDocuments/t/G/SPS/NBDI44A1.DOCX", "https://docs.wto.org/imrd/directdoc.asp?DDFDocuments/t/G/SPS/NBDI44A1.DOCX")</f>
      </c>
      <c r="P1249" s="6">
        <f>HYPERLINK("https://docs.wto.org/imrd/directdoc.asp?DDFDocuments/u/G/SPS/NBDI44A1.DOCX", "https://docs.wto.org/imrd/directdoc.asp?DDFDocuments/u/G/SPS/NBDI44A1.DOCX")</f>
      </c>
      <c r="Q1249" s="6">
        <f>HYPERLINK("https://docs.wto.org/imrd/directdoc.asp?DDFDocuments/v/G/SPS/NBDI44A1.DOCX", "https://docs.wto.org/imrd/directdoc.asp?DDFDocuments/v/G/SPS/NBDI44A1.DOCX")</f>
      </c>
    </row>
    <row r="1250">
      <c r="A1250" s="6" t="s">
        <v>2030</v>
      </c>
      <c r="B1250" s="7">
        <v>45478</v>
      </c>
      <c r="C1250" s="6">
        <f>HYPERLINK("https://eping.wto.org/en/Search?viewData= G/SPS/N/BDI/41/Add.1, G/SPS/N/KEN/197/Add.1, G/SPS/N/RWA/34/Add.1, G/SPS/N/TZA/255/Add.1, G/SPS/N/UGA/238/Add.1"," G/SPS/N/BDI/41/Add.1, G/SPS/N/KEN/197/Add.1, G/SPS/N/RWA/34/Add.1, G/SPS/N/TZA/255/Add.1, G/SPS/N/UGA/238/Add.1")</f>
      </c>
      <c r="D1250" s="8" t="s">
        <v>4292</v>
      </c>
      <c r="E1250" s="8" t="s">
        <v>4293</v>
      </c>
      <c r="F1250" s="8" t="s">
        <v>4294</v>
      </c>
      <c r="G1250" s="6" t="s">
        <v>4295</v>
      </c>
      <c r="H1250" s="6" t="s">
        <v>320</v>
      </c>
      <c r="I1250" s="6" t="s">
        <v>38</v>
      </c>
      <c r="J1250" s="6" t="s">
        <v>1663</v>
      </c>
      <c r="K1250" s="6"/>
      <c r="L1250" s="7" t="s">
        <v>40</v>
      </c>
      <c r="M1250" s="6" t="s">
        <v>76</v>
      </c>
      <c r="N1250" s="6"/>
      <c r="O1250" s="6">
        <f>HYPERLINK("https://docs.wto.org/imrd/directdoc.asp?DDFDocuments/t/G/SPS/NBDI41A1.DOCX", "https://docs.wto.org/imrd/directdoc.asp?DDFDocuments/t/G/SPS/NBDI41A1.DOCX")</f>
      </c>
      <c r="P1250" s="6">
        <f>HYPERLINK("https://docs.wto.org/imrd/directdoc.asp?DDFDocuments/u/G/SPS/NBDI41A1.DOCX", "https://docs.wto.org/imrd/directdoc.asp?DDFDocuments/u/G/SPS/NBDI41A1.DOCX")</f>
      </c>
      <c r="Q1250" s="6">
        <f>HYPERLINK("https://docs.wto.org/imrd/directdoc.asp?DDFDocuments/v/G/SPS/NBDI41A1.DOCX", "https://docs.wto.org/imrd/directdoc.asp?DDFDocuments/v/G/SPS/NBDI41A1.DOCX")</f>
      </c>
    </row>
    <row r="1251">
      <c r="A1251" s="6" t="s">
        <v>2024</v>
      </c>
      <c r="B1251" s="7">
        <v>45478</v>
      </c>
      <c r="C1251" s="6">
        <f>HYPERLINK("https://eping.wto.org/en/Search?viewData= G/SPS/N/BDI/41/Add.1, G/SPS/N/KEN/197/Add.1, G/SPS/N/RWA/34/Add.1, G/SPS/N/TZA/255/Add.1, G/SPS/N/UGA/238/Add.1"," G/SPS/N/BDI/41/Add.1, G/SPS/N/KEN/197/Add.1, G/SPS/N/RWA/34/Add.1, G/SPS/N/TZA/255/Add.1, G/SPS/N/UGA/238/Add.1")</f>
      </c>
      <c r="D1251" s="8" t="s">
        <v>4292</v>
      </c>
      <c r="E1251" s="8" t="s">
        <v>4293</v>
      </c>
      <c r="F1251" s="8" t="s">
        <v>4294</v>
      </c>
      <c r="G1251" s="6" t="s">
        <v>4295</v>
      </c>
      <c r="H1251" s="6" t="s">
        <v>320</v>
      </c>
      <c r="I1251" s="6" t="s">
        <v>38</v>
      </c>
      <c r="J1251" s="6" t="s">
        <v>1460</v>
      </c>
      <c r="K1251" s="6"/>
      <c r="L1251" s="7" t="s">
        <v>40</v>
      </c>
      <c r="M1251" s="6" t="s">
        <v>76</v>
      </c>
      <c r="N1251" s="6"/>
      <c r="O1251" s="6">
        <f>HYPERLINK("https://docs.wto.org/imrd/directdoc.asp?DDFDocuments/t/G/SPS/NBDI41A1.DOCX", "https://docs.wto.org/imrd/directdoc.asp?DDFDocuments/t/G/SPS/NBDI41A1.DOCX")</f>
      </c>
      <c r="P1251" s="6">
        <f>HYPERLINK("https://docs.wto.org/imrd/directdoc.asp?DDFDocuments/u/G/SPS/NBDI41A1.DOCX", "https://docs.wto.org/imrd/directdoc.asp?DDFDocuments/u/G/SPS/NBDI41A1.DOCX")</f>
      </c>
      <c r="Q1251" s="6">
        <f>HYPERLINK("https://docs.wto.org/imrd/directdoc.asp?DDFDocuments/v/G/SPS/NBDI41A1.DOCX", "https://docs.wto.org/imrd/directdoc.asp?DDFDocuments/v/G/SPS/NBDI41A1.DOCX")</f>
      </c>
    </row>
    <row r="1252">
      <c r="A1252" s="6" t="s">
        <v>2024</v>
      </c>
      <c r="B1252" s="7">
        <v>45478</v>
      </c>
      <c r="C1252" s="6">
        <f>HYPERLINK("https://eping.wto.org/en/Search?viewData= G/SPS/N/BDI/42/Add.1, G/SPS/N/KEN/198/Add.1, G/SPS/N/RWA/35/Add.1, G/SPS/N/TZA/256/Add.1, G/SPS/N/UGA/239/Add.1"," G/SPS/N/BDI/42/Add.1, G/SPS/N/KEN/198/Add.1, G/SPS/N/RWA/35/Add.1, G/SPS/N/TZA/256/Add.1, G/SPS/N/UGA/239/Add.1")</f>
      </c>
      <c r="D1252" s="8" t="s">
        <v>4312</v>
      </c>
      <c r="E1252" s="8" t="s">
        <v>4313</v>
      </c>
      <c r="F1252" s="8" t="s">
        <v>4314</v>
      </c>
      <c r="G1252" s="6" t="s">
        <v>4315</v>
      </c>
      <c r="H1252" s="6" t="s">
        <v>320</v>
      </c>
      <c r="I1252" s="6" t="s">
        <v>38</v>
      </c>
      <c r="J1252" s="6" t="s">
        <v>1663</v>
      </c>
      <c r="K1252" s="6"/>
      <c r="L1252" s="7" t="s">
        <v>40</v>
      </c>
      <c r="M1252" s="6" t="s">
        <v>76</v>
      </c>
      <c r="N1252" s="6"/>
      <c r="O1252" s="6">
        <f>HYPERLINK("https://docs.wto.org/imrd/directdoc.asp?DDFDocuments/t/G/SPS/NBDI42A1.DOCX", "https://docs.wto.org/imrd/directdoc.asp?DDFDocuments/t/G/SPS/NBDI42A1.DOCX")</f>
      </c>
      <c r="P1252" s="6">
        <f>HYPERLINK("https://docs.wto.org/imrd/directdoc.asp?DDFDocuments/u/G/SPS/NBDI42A1.DOCX", "https://docs.wto.org/imrd/directdoc.asp?DDFDocuments/u/G/SPS/NBDI42A1.DOCX")</f>
      </c>
      <c r="Q1252" s="6">
        <f>HYPERLINK("https://docs.wto.org/imrd/directdoc.asp?DDFDocuments/v/G/SPS/NBDI42A1.DOCX", "https://docs.wto.org/imrd/directdoc.asp?DDFDocuments/v/G/SPS/NBDI42A1.DOCX")</f>
      </c>
    </row>
    <row r="1253">
      <c r="A1253" s="6" t="s">
        <v>17</v>
      </c>
      <c r="B1253" s="7">
        <v>45478</v>
      </c>
      <c r="C1253" s="6">
        <f>HYPERLINK("https://eping.wto.org/en/Search?viewData= G/SPS/N/BDI/42/Add.1, G/SPS/N/KEN/198/Add.1, G/SPS/N/RWA/35/Add.1, G/SPS/N/TZA/256/Add.1, G/SPS/N/UGA/239/Add.1"," G/SPS/N/BDI/42/Add.1, G/SPS/N/KEN/198/Add.1, G/SPS/N/RWA/35/Add.1, G/SPS/N/TZA/256/Add.1, G/SPS/N/UGA/239/Add.1")</f>
      </c>
      <c r="D1253" s="8" t="s">
        <v>4312</v>
      </c>
      <c r="E1253" s="8" t="s">
        <v>4313</v>
      </c>
      <c r="F1253" s="8" t="s">
        <v>4314</v>
      </c>
      <c r="G1253" s="6" t="s">
        <v>4315</v>
      </c>
      <c r="H1253" s="6" t="s">
        <v>320</v>
      </c>
      <c r="I1253" s="6" t="s">
        <v>38</v>
      </c>
      <c r="J1253" s="6" t="s">
        <v>1663</v>
      </c>
      <c r="K1253" s="6"/>
      <c r="L1253" s="7" t="s">
        <v>40</v>
      </c>
      <c r="M1253" s="6" t="s">
        <v>76</v>
      </c>
      <c r="N1253" s="6"/>
      <c r="O1253" s="6">
        <f>HYPERLINK("https://docs.wto.org/imrd/directdoc.asp?DDFDocuments/t/G/SPS/NBDI42A1.DOCX", "https://docs.wto.org/imrd/directdoc.asp?DDFDocuments/t/G/SPS/NBDI42A1.DOCX")</f>
      </c>
      <c r="P1253" s="6">
        <f>HYPERLINK("https://docs.wto.org/imrd/directdoc.asp?DDFDocuments/u/G/SPS/NBDI42A1.DOCX", "https://docs.wto.org/imrd/directdoc.asp?DDFDocuments/u/G/SPS/NBDI42A1.DOCX")</f>
      </c>
      <c r="Q1253" s="6">
        <f>HYPERLINK("https://docs.wto.org/imrd/directdoc.asp?DDFDocuments/v/G/SPS/NBDI42A1.DOCX", "https://docs.wto.org/imrd/directdoc.asp?DDFDocuments/v/G/SPS/NBDI42A1.DOCX")</f>
      </c>
    </row>
    <row r="1254">
      <c r="A1254" s="6" t="s">
        <v>880</v>
      </c>
      <c r="B1254" s="7">
        <v>45478</v>
      </c>
      <c r="C1254" s="6">
        <f>HYPERLINK("https://eping.wto.org/en/Search?viewData= G/SPS/N/BDI/42/Add.1, G/SPS/N/KEN/198/Add.1, G/SPS/N/RWA/35/Add.1, G/SPS/N/TZA/256/Add.1, G/SPS/N/UGA/239/Add.1"," G/SPS/N/BDI/42/Add.1, G/SPS/N/KEN/198/Add.1, G/SPS/N/RWA/35/Add.1, G/SPS/N/TZA/256/Add.1, G/SPS/N/UGA/239/Add.1")</f>
      </c>
      <c r="D1254" s="8" t="s">
        <v>4312</v>
      </c>
      <c r="E1254" s="8" t="s">
        <v>4313</v>
      </c>
      <c r="F1254" s="8" t="s">
        <v>4314</v>
      </c>
      <c r="G1254" s="6" t="s">
        <v>4315</v>
      </c>
      <c r="H1254" s="6" t="s">
        <v>320</v>
      </c>
      <c r="I1254" s="6" t="s">
        <v>38</v>
      </c>
      <c r="J1254" s="6" t="s">
        <v>1663</v>
      </c>
      <c r="K1254" s="6"/>
      <c r="L1254" s="7" t="s">
        <v>40</v>
      </c>
      <c r="M1254" s="6" t="s">
        <v>76</v>
      </c>
      <c r="N1254" s="6"/>
      <c r="O1254" s="6">
        <f>HYPERLINK("https://docs.wto.org/imrd/directdoc.asp?DDFDocuments/t/G/SPS/NBDI42A1.DOCX", "https://docs.wto.org/imrd/directdoc.asp?DDFDocuments/t/G/SPS/NBDI42A1.DOCX")</f>
      </c>
      <c r="P1254" s="6">
        <f>HYPERLINK("https://docs.wto.org/imrd/directdoc.asp?DDFDocuments/u/G/SPS/NBDI42A1.DOCX", "https://docs.wto.org/imrd/directdoc.asp?DDFDocuments/u/G/SPS/NBDI42A1.DOCX")</f>
      </c>
      <c r="Q1254" s="6">
        <f>HYPERLINK("https://docs.wto.org/imrd/directdoc.asp?DDFDocuments/v/G/SPS/NBDI42A1.DOCX", "https://docs.wto.org/imrd/directdoc.asp?DDFDocuments/v/G/SPS/NBDI42A1.DOCX")</f>
      </c>
    </row>
    <row r="1255">
      <c r="A1255" s="6" t="s">
        <v>2030</v>
      </c>
      <c r="B1255" s="7">
        <v>45478</v>
      </c>
      <c r="C1255" s="6">
        <f>HYPERLINK("https://eping.wto.org/en/Search?viewData= G/SPS/N/BDI/44/Add.1, G/SPS/N/KEN/200/Add.1, G/SPS/N/RWA/37/Add.1, G/SPS/N/TZA/258/Add.1, G/SPS/N/UGA/241/Add.1"," G/SPS/N/BDI/44/Add.1, G/SPS/N/KEN/200/Add.1, G/SPS/N/RWA/37/Add.1, G/SPS/N/TZA/258/Add.1, G/SPS/N/UGA/241/Add.1")</f>
      </c>
      <c r="D1255" s="8" t="s">
        <v>4310</v>
      </c>
      <c r="E1255" s="8" t="s">
        <v>4311</v>
      </c>
      <c r="F1255" s="8" t="s">
        <v>4298</v>
      </c>
      <c r="G1255" s="6" t="s">
        <v>4299</v>
      </c>
      <c r="H1255" s="6" t="s">
        <v>3048</v>
      </c>
      <c r="I1255" s="6" t="s">
        <v>791</v>
      </c>
      <c r="J1255" s="6" t="s">
        <v>4316</v>
      </c>
      <c r="K1255" s="6"/>
      <c r="L1255" s="7" t="s">
        <v>40</v>
      </c>
      <c r="M1255" s="6" t="s">
        <v>76</v>
      </c>
      <c r="N1255" s="6"/>
      <c r="O1255" s="6">
        <f>HYPERLINK("https://docs.wto.org/imrd/directdoc.asp?DDFDocuments/t/G/SPS/NBDI44A1.DOCX", "https://docs.wto.org/imrd/directdoc.asp?DDFDocuments/t/G/SPS/NBDI44A1.DOCX")</f>
      </c>
      <c r="P1255" s="6">
        <f>HYPERLINK("https://docs.wto.org/imrd/directdoc.asp?DDFDocuments/u/G/SPS/NBDI44A1.DOCX", "https://docs.wto.org/imrd/directdoc.asp?DDFDocuments/u/G/SPS/NBDI44A1.DOCX")</f>
      </c>
      <c r="Q1255" s="6">
        <f>HYPERLINK("https://docs.wto.org/imrd/directdoc.asp?DDFDocuments/v/G/SPS/NBDI44A1.DOCX", "https://docs.wto.org/imrd/directdoc.asp?DDFDocuments/v/G/SPS/NBDI44A1.DOCX")</f>
      </c>
    </row>
    <row r="1256">
      <c r="A1256" s="6" t="s">
        <v>2041</v>
      </c>
      <c r="B1256" s="7">
        <v>45478</v>
      </c>
      <c r="C1256" s="6">
        <f>HYPERLINK("https://eping.wto.org/en/Search?viewData= G/SPS/N/BDI/44/Add.1, G/SPS/N/KEN/200/Add.1, G/SPS/N/RWA/37/Add.1, G/SPS/N/TZA/258/Add.1, G/SPS/N/UGA/241/Add.1"," G/SPS/N/BDI/44/Add.1, G/SPS/N/KEN/200/Add.1, G/SPS/N/RWA/37/Add.1, G/SPS/N/TZA/258/Add.1, G/SPS/N/UGA/241/Add.1")</f>
      </c>
      <c r="D1256" s="8" t="s">
        <v>4310</v>
      </c>
      <c r="E1256" s="8" t="s">
        <v>4311</v>
      </c>
      <c r="F1256" s="8" t="s">
        <v>4298</v>
      </c>
      <c r="G1256" s="6" t="s">
        <v>4299</v>
      </c>
      <c r="H1256" s="6" t="s">
        <v>3048</v>
      </c>
      <c r="I1256" s="6" t="s">
        <v>791</v>
      </c>
      <c r="J1256" s="6" t="s">
        <v>4300</v>
      </c>
      <c r="K1256" s="6"/>
      <c r="L1256" s="7" t="s">
        <v>40</v>
      </c>
      <c r="M1256" s="6" t="s">
        <v>76</v>
      </c>
      <c r="N1256" s="6"/>
      <c r="O1256" s="6">
        <f>HYPERLINK("https://docs.wto.org/imrd/directdoc.asp?DDFDocuments/t/G/SPS/NBDI44A1.DOCX", "https://docs.wto.org/imrd/directdoc.asp?DDFDocuments/t/G/SPS/NBDI44A1.DOCX")</f>
      </c>
      <c r="P1256" s="6">
        <f>HYPERLINK("https://docs.wto.org/imrd/directdoc.asp?DDFDocuments/u/G/SPS/NBDI44A1.DOCX", "https://docs.wto.org/imrd/directdoc.asp?DDFDocuments/u/G/SPS/NBDI44A1.DOCX")</f>
      </c>
      <c r="Q1256" s="6">
        <f>HYPERLINK("https://docs.wto.org/imrd/directdoc.asp?DDFDocuments/v/G/SPS/NBDI44A1.DOCX", "https://docs.wto.org/imrd/directdoc.asp?DDFDocuments/v/G/SPS/NBDI44A1.DOCX")</f>
      </c>
    </row>
    <row r="1257">
      <c r="A1257" s="6" t="s">
        <v>880</v>
      </c>
      <c r="B1257" s="7">
        <v>45478</v>
      </c>
      <c r="C1257" s="6">
        <f>HYPERLINK("https://eping.wto.org/en/Search?viewData= G/SPS/N/BDI/44/Add.1, G/SPS/N/KEN/200/Add.1, G/SPS/N/RWA/37/Add.1, G/SPS/N/TZA/258/Add.1, G/SPS/N/UGA/241/Add.1"," G/SPS/N/BDI/44/Add.1, G/SPS/N/KEN/200/Add.1, G/SPS/N/RWA/37/Add.1, G/SPS/N/TZA/258/Add.1, G/SPS/N/UGA/241/Add.1")</f>
      </c>
      <c r="D1257" s="8" t="s">
        <v>4310</v>
      </c>
      <c r="E1257" s="8" t="s">
        <v>4311</v>
      </c>
      <c r="F1257" s="8" t="s">
        <v>4298</v>
      </c>
      <c r="G1257" s="6" t="s">
        <v>4299</v>
      </c>
      <c r="H1257" s="6" t="s">
        <v>3048</v>
      </c>
      <c r="I1257" s="6" t="s">
        <v>791</v>
      </c>
      <c r="J1257" s="6" t="s">
        <v>4300</v>
      </c>
      <c r="K1257" s="6"/>
      <c r="L1257" s="7" t="s">
        <v>40</v>
      </c>
      <c r="M1257" s="6" t="s">
        <v>76</v>
      </c>
      <c r="N1257" s="6"/>
      <c r="O1257" s="6">
        <f>HYPERLINK("https://docs.wto.org/imrd/directdoc.asp?DDFDocuments/t/G/SPS/NBDI44A1.DOCX", "https://docs.wto.org/imrd/directdoc.asp?DDFDocuments/t/G/SPS/NBDI44A1.DOCX")</f>
      </c>
      <c r="P1257" s="6">
        <f>HYPERLINK("https://docs.wto.org/imrd/directdoc.asp?DDFDocuments/u/G/SPS/NBDI44A1.DOCX", "https://docs.wto.org/imrd/directdoc.asp?DDFDocuments/u/G/SPS/NBDI44A1.DOCX")</f>
      </c>
      <c r="Q1257" s="6">
        <f>HYPERLINK("https://docs.wto.org/imrd/directdoc.asp?DDFDocuments/v/G/SPS/NBDI44A1.DOCX", "https://docs.wto.org/imrd/directdoc.asp?DDFDocuments/v/G/SPS/NBDI44A1.DOCX")</f>
      </c>
    </row>
    <row r="1258">
      <c r="A1258" s="6" t="s">
        <v>180</v>
      </c>
      <c r="B1258" s="7">
        <v>45478</v>
      </c>
      <c r="C1258" s="6">
        <f>HYPERLINK("https://eping.wto.org/en/Search?viewData= G/SPS/N/CRI/278"," G/SPS/N/CRI/278")</f>
      </c>
      <c r="D1258" s="8" t="s">
        <v>4317</v>
      </c>
      <c r="E1258" s="8" t="s">
        <v>4318</v>
      </c>
      <c r="F1258" s="8" t="s">
        <v>492</v>
      </c>
      <c r="G1258" s="6" t="s">
        <v>368</v>
      </c>
      <c r="H1258" s="6" t="s">
        <v>40</v>
      </c>
      <c r="I1258" s="6" t="s">
        <v>184</v>
      </c>
      <c r="J1258" s="6" t="s">
        <v>410</v>
      </c>
      <c r="K1258" s="6" t="s">
        <v>1076</v>
      </c>
      <c r="L1258" s="7">
        <v>45538</v>
      </c>
      <c r="M1258" s="6" t="s">
        <v>25</v>
      </c>
      <c r="N1258" s="8" t="s">
        <v>4319</v>
      </c>
      <c r="O1258" s="6">
        <f>HYPERLINK("https://docs.wto.org/imrd/directdoc.asp?DDFDocuments/t/G/SPS/NCRI278.DOCX", "https://docs.wto.org/imrd/directdoc.asp?DDFDocuments/t/G/SPS/NCRI278.DOCX")</f>
      </c>
      <c r="P1258" s="6">
        <f>HYPERLINK("https://docs.wto.org/imrd/directdoc.asp?DDFDocuments/u/G/SPS/NCRI278.DOCX", "https://docs.wto.org/imrd/directdoc.asp?DDFDocuments/u/G/SPS/NCRI278.DOCX")</f>
      </c>
      <c r="Q1258" s="6">
        <f>HYPERLINK("https://docs.wto.org/imrd/directdoc.asp?DDFDocuments/v/G/SPS/NCRI278.DOCX", "https://docs.wto.org/imrd/directdoc.asp?DDFDocuments/v/G/SPS/NCRI278.DOCX")</f>
      </c>
    </row>
    <row r="1259">
      <c r="A1259" s="6" t="s">
        <v>2030</v>
      </c>
      <c r="B1259" s="7">
        <v>45478</v>
      </c>
      <c r="C1259" s="6">
        <f>HYPERLINK("https://eping.wto.org/en/Search?viewData= G/SPS/N/BDI/42/Add.1, G/SPS/N/KEN/198/Add.1, G/SPS/N/RWA/35/Add.1, G/SPS/N/TZA/256/Add.1, G/SPS/N/UGA/239/Add.1"," G/SPS/N/BDI/42/Add.1, G/SPS/N/KEN/198/Add.1, G/SPS/N/RWA/35/Add.1, G/SPS/N/TZA/256/Add.1, G/SPS/N/UGA/239/Add.1")</f>
      </c>
      <c r="D1259" s="8" t="s">
        <v>4312</v>
      </c>
      <c r="E1259" s="8" t="s">
        <v>4313</v>
      </c>
      <c r="F1259" s="8" t="s">
        <v>4314</v>
      </c>
      <c r="G1259" s="6" t="s">
        <v>4315</v>
      </c>
      <c r="H1259" s="6" t="s">
        <v>320</v>
      </c>
      <c r="I1259" s="6" t="s">
        <v>38</v>
      </c>
      <c r="J1259" s="6" t="s">
        <v>1663</v>
      </c>
      <c r="K1259" s="6"/>
      <c r="L1259" s="7" t="s">
        <v>40</v>
      </c>
      <c r="M1259" s="6" t="s">
        <v>76</v>
      </c>
      <c r="N1259" s="6"/>
      <c r="O1259" s="6">
        <f>HYPERLINK("https://docs.wto.org/imrd/directdoc.asp?DDFDocuments/t/G/SPS/NBDI42A1.DOCX", "https://docs.wto.org/imrd/directdoc.asp?DDFDocuments/t/G/SPS/NBDI42A1.DOCX")</f>
      </c>
      <c r="P1259" s="6">
        <f>HYPERLINK("https://docs.wto.org/imrd/directdoc.asp?DDFDocuments/u/G/SPS/NBDI42A1.DOCX", "https://docs.wto.org/imrd/directdoc.asp?DDFDocuments/u/G/SPS/NBDI42A1.DOCX")</f>
      </c>
      <c r="Q1259" s="6">
        <f>HYPERLINK("https://docs.wto.org/imrd/directdoc.asp?DDFDocuments/v/G/SPS/NBDI42A1.DOCX", "https://docs.wto.org/imrd/directdoc.asp?DDFDocuments/v/G/SPS/NBDI42A1.DOCX")</f>
      </c>
    </row>
    <row r="1260">
      <c r="A1260" s="6" t="s">
        <v>17</v>
      </c>
      <c r="B1260" s="7">
        <v>45478</v>
      </c>
      <c r="C1260" s="6">
        <f>HYPERLINK("https://eping.wto.org/en/Search?viewData= G/SPS/N/BDI/43/Add.1, G/SPS/N/KEN/199/Add.1, G/SPS/N/RWA/36/Add.1, G/SPS/N/TZA/257/Add.1, G/SPS/N/UGA/240/Add.1"," G/SPS/N/BDI/43/Add.1, G/SPS/N/KEN/199/Add.1, G/SPS/N/RWA/36/Add.1, G/SPS/N/TZA/257/Add.1, G/SPS/N/UGA/240/Add.1")</f>
      </c>
      <c r="D1260" s="8" t="s">
        <v>4320</v>
      </c>
      <c r="E1260" s="8" t="s">
        <v>4321</v>
      </c>
      <c r="F1260" s="8" t="s">
        <v>4298</v>
      </c>
      <c r="G1260" s="6" t="s">
        <v>4299</v>
      </c>
      <c r="H1260" s="6" t="s">
        <v>3048</v>
      </c>
      <c r="I1260" s="6" t="s">
        <v>353</v>
      </c>
      <c r="J1260" s="6" t="s">
        <v>4322</v>
      </c>
      <c r="K1260" s="6"/>
      <c r="L1260" s="7" t="s">
        <v>40</v>
      </c>
      <c r="M1260" s="6" t="s">
        <v>76</v>
      </c>
      <c r="N1260" s="6"/>
      <c r="O1260" s="6">
        <f>HYPERLINK("https://docs.wto.org/imrd/directdoc.asp?DDFDocuments/t/G/SPS/NBDI43A1.DOCX", "https://docs.wto.org/imrd/directdoc.asp?DDFDocuments/t/G/SPS/NBDI43A1.DOCX")</f>
      </c>
      <c r="P1260" s="6">
        <f>HYPERLINK("https://docs.wto.org/imrd/directdoc.asp?DDFDocuments/u/G/SPS/NBDI43A1.DOCX", "https://docs.wto.org/imrd/directdoc.asp?DDFDocuments/u/G/SPS/NBDI43A1.DOCX")</f>
      </c>
      <c r="Q1260" s="6">
        <f>HYPERLINK("https://docs.wto.org/imrd/directdoc.asp?DDFDocuments/v/G/SPS/NBDI43A1.DOCX", "https://docs.wto.org/imrd/directdoc.asp?DDFDocuments/v/G/SPS/NBDI43A1.DOCX")</f>
      </c>
    </row>
    <row r="1261">
      <c r="A1261" s="6" t="s">
        <v>17</v>
      </c>
      <c r="B1261" s="7">
        <v>45478</v>
      </c>
      <c r="C1261" s="6">
        <f>HYPERLINK("https://eping.wto.org/en/Search?viewData= G/SPS/N/BDI/46/Add.1, G/SPS/N/KEN/202/Add.1, G/SPS/N/RWA/39/Add.1, G/SPS/N/TZA/260/Add.1, G/SPS/N/UGA/243/Add.1"," G/SPS/N/BDI/46/Add.1, G/SPS/N/KEN/202/Add.1, G/SPS/N/RWA/39/Add.1, G/SPS/N/TZA/260/Add.1, G/SPS/N/UGA/243/Add.1")</f>
      </c>
      <c r="D1261" s="8" t="s">
        <v>4296</v>
      </c>
      <c r="E1261" s="8" t="s">
        <v>4297</v>
      </c>
      <c r="F1261" s="8" t="s">
        <v>4298</v>
      </c>
      <c r="G1261" s="6" t="s">
        <v>4299</v>
      </c>
      <c r="H1261" s="6" t="s">
        <v>3048</v>
      </c>
      <c r="I1261" s="6" t="s">
        <v>791</v>
      </c>
      <c r="J1261" s="6" t="s">
        <v>4300</v>
      </c>
      <c r="K1261" s="6"/>
      <c r="L1261" s="7" t="s">
        <v>40</v>
      </c>
      <c r="M1261" s="6" t="s">
        <v>76</v>
      </c>
      <c r="N1261" s="6"/>
      <c r="O1261" s="6">
        <f>HYPERLINK("https://docs.wto.org/imrd/directdoc.asp?DDFDocuments/t/G/SPS/NBDI46A1.DOCX", "https://docs.wto.org/imrd/directdoc.asp?DDFDocuments/t/G/SPS/NBDI46A1.DOCX")</f>
      </c>
      <c r="P1261" s="6">
        <f>HYPERLINK("https://docs.wto.org/imrd/directdoc.asp?DDFDocuments/u/G/SPS/NBDI46A1.DOCX", "https://docs.wto.org/imrd/directdoc.asp?DDFDocuments/u/G/SPS/NBDI46A1.DOCX")</f>
      </c>
      <c r="Q1261" s="6">
        <f>HYPERLINK("https://docs.wto.org/imrd/directdoc.asp?DDFDocuments/v/G/SPS/NBDI46A1.DOCX", "https://docs.wto.org/imrd/directdoc.asp?DDFDocuments/v/G/SPS/NBDI46A1.DOCX")</f>
      </c>
    </row>
    <row r="1262">
      <c r="A1262" s="6" t="s">
        <v>880</v>
      </c>
      <c r="B1262" s="7">
        <v>45478</v>
      </c>
      <c r="C1262" s="6">
        <f>HYPERLINK("https://eping.wto.org/en/Search?viewData= G/SPS/N/BDI/46/Add.1, G/SPS/N/KEN/202/Add.1, G/SPS/N/RWA/39/Add.1, G/SPS/N/TZA/260/Add.1, G/SPS/N/UGA/243/Add.1"," G/SPS/N/BDI/46/Add.1, G/SPS/N/KEN/202/Add.1, G/SPS/N/RWA/39/Add.1, G/SPS/N/TZA/260/Add.1, G/SPS/N/UGA/243/Add.1")</f>
      </c>
      <c r="D1262" s="8" t="s">
        <v>4296</v>
      </c>
      <c r="E1262" s="8" t="s">
        <v>4297</v>
      </c>
      <c r="F1262" s="8" t="s">
        <v>4298</v>
      </c>
      <c r="G1262" s="6" t="s">
        <v>4299</v>
      </c>
      <c r="H1262" s="6" t="s">
        <v>3048</v>
      </c>
      <c r="I1262" s="6" t="s">
        <v>791</v>
      </c>
      <c r="J1262" s="6" t="s">
        <v>4300</v>
      </c>
      <c r="K1262" s="6"/>
      <c r="L1262" s="7" t="s">
        <v>40</v>
      </c>
      <c r="M1262" s="6" t="s">
        <v>76</v>
      </c>
      <c r="N1262" s="6"/>
      <c r="O1262" s="6">
        <f>HYPERLINK("https://docs.wto.org/imrd/directdoc.asp?DDFDocuments/t/G/SPS/NBDI46A1.DOCX", "https://docs.wto.org/imrd/directdoc.asp?DDFDocuments/t/G/SPS/NBDI46A1.DOCX")</f>
      </c>
      <c r="P1262" s="6">
        <f>HYPERLINK("https://docs.wto.org/imrd/directdoc.asp?DDFDocuments/u/G/SPS/NBDI46A1.DOCX", "https://docs.wto.org/imrd/directdoc.asp?DDFDocuments/u/G/SPS/NBDI46A1.DOCX")</f>
      </c>
      <c r="Q1262" s="6">
        <f>HYPERLINK("https://docs.wto.org/imrd/directdoc.asp?DDFDocuments/v/G/SPS/NBDI46A1.DOCX", "https://docs.wto.org/imrd/directdoc.asp?DDFDocuments/v/G/SPS/NBDI46A1.DOCX")</f>
      </c>
    </row>
    <row r="1263">
      <c r="A1263" s="6" t="s">
        <v>2024</v>
      </c>
      <c r="B1263" s="7">
        <v>45478</v>
      </c>
      <c r="C1263" s="6">
        <f>HYPERLINK("https://eping.wto.org/en/Search?viewData= G/SPS/N/BDI/45/Add.1, G/SPS/N/KEN/201/Add.1, G/SPS/N/RWA/38/Add.1, G/SPS/N/TZA/259/Add.1, G/SPS/N/UGA/242/Add.1"," G/SPS/N/BDI/45/Add.1, G/SPS/N/KEN/201/Add.1, G/SPS/N/RWA/38/Add.1, G/SPS/N/TZA/259/Add.1, G/SPS/N/UGA/242/Add.1")</f>
      </c>
      <c r="D1263" s="8" t="s">
        <v>4301</v>
      </c>
      <c r="E1263" s="8" t="s">
        <v>4302</v>
      </c>
      <c r="F1263" s="8" t="s">
        <v>4298</v>
      </c>
      <c r="G1263" s="6" t="s">
        <v>4299</v>
      </c>
      <c r="H1263" s="6" t="s">
        <v>3048</v>
      </c>
      <c r="I1263" s="6" t="s">
        <v>791</v>
      </c>
      <c r="J1263" s="6" t="s">
        <v>4300</v>
      </c>
      <c r="K1263" s="6"/>
      <c r="L1263" s="7" t="s">
        <v>40</v>
      </c>
      <c r="M1263" s="6" t="s">
        <v>76</v>
      </c>
      <c r="N1263" s="6"/>
      <c r="O1263" s="6">
        <f>HYPERLINK("https://docs.wto.org/imrd/directdoc.asp?DDFDocuments/t/G/SPS/NBDI45A1.DOCX", "https://docs.wto.org/imrd/directdoc.asp?DDFDocuments/t/G/SPS/NBDI45A1.DOCX")</f>
      </c>
      <c r="P1263" s="6">
        <f>HYPERLINK("https://docs.wto.org/imrd/directdoc.asp?DDFDocuments/u/G/SPS/NBDI45A1.DOCX", "https://docs.wto.org/imrd/directdoc.asp?DDFDocuments/u/G/SPS/NBDI45A1.DOCX")</f>
      </c>
      <c r="Q1263" s="6">
        <f>HYPERLINK("https://docs.wto.org/imrd/directdoc.asp?DDFDocuments/v/G/SPS/NBDI45A1.DOCX", "https://docs.wto.org/imrd/directdoc.asp?DDFDocuments/v/G/SPS/NBDI45A1.DOCX")</f>
      </c>
    </row>
    <row r="1264">
      <c r="A1264" s="6" t="s">
        <v>2041</v>
      </c>
      <c r="B1264" s="7">
        <v>45478</v>
      </c>
      <c r="C1264" s="6">
        <f>HYPERLINK("https://eping.wto.org/en/Search?viewData= G/SPS/N/BDI/39/Add.1, G/SPS/N/KEN/195/Add.1, G/SPS/N/RWA/32/Add.1, G/SPS/N/TZA/253/Add.1, G/SPS/N/UGA/236/Add.1"," G/SPS/N/BDI/39/Add.1, G/SPS/N/KEN/195/Add.1, G/SPS/N/RWA/32/Add.1, G/SPS/N/TZA/253/Add.1, G/SPS/N/UGA/236/Add.1")</f>
      </c>
      <c r="D1264" s="8" t="s">
        <v>4323</v>
      </c>
      <c r="E1264" s="8" t="s">
        <v>4324</v>
      </c>
      <c r="F1264" s="8" t="s">
        <v>4325</v>
      </c>
      <c r="G1264" s="6" t="s">
        <v>4326</v>
      </c>
      <c r="H1264" s="6" t="s">
        <v>320</v>
      </c>
      <c r="I1264" s="6" t="s">
        <v>38</v>
      </c>
      <c r="J1264" s="6" t="s">
        <v>1663</v>
      </c>
      <c r="K1264" s="6"/>
      <c r="L1264" s="7" t="s">
        <v>40</v>
      </c>
      <c r="M1264" s="6" t="s">
        <v>76</v>
      </c>
      <c r="N1264" s="6"/>
      <c r="O1264" s="6">
        <f>HYPERLINK("https://docs.wto.org/imrd/directdoc.asp?DDFDocuments/t/G/SPS/NBDI39A1.DOCX", "https://docs.wto.org/imrd/directdoc.asp?DDFDocuments/t/G/SPS/NBDI39A1.DOCX")</f>
      </c>
      <c r="P1264" s="6">
        <f>HYPERLINK("https://docs.wto.org/imrd/directdoc.asp?DDFDocuments/u/G/SPS/NBDI39A1.DOCX", "https://docs.wto.org/imrd/directdoc.asp?DDFDocuments/u/G/SPS/NBDI39A1.DOCX")</f>
      </c>
      <c r="Q1264" s="6">
        <f>HYPERLINK("https://docs.wto.org/imrd/directdoc.asp?DDFDocuments/v/G/SPS/NBDI39A1.DOCX", "https://docs.wto.org/imrd/directdoc.asp?DDFDocuments/v/G/SPS/NBDI39A1.DOCX")</f>
      </c>
    </row>
    <row r="1265">
      <c r="A1265" s="6" t="s">
        <v>2024</v>
      </c>
      <c r="B1265" s="7">
        <v>45478</v>
      </c>
      <c r="C1265" s="6">
        <f>HYPERLINK("https://eping.wto.org/en/Search?viewData= G/SPS/N/BDI/38/Add.1, G/SPS/N/KEN/194/Add.1, G/SPS/N/RWA/31/Add.1, G/SPS/N/TZA/252/Add.1, G/SPS/N/UGA/235/Add.1"," G/SPS/N/BDI/38/Add.1, G/SPS/N/KEN/194/Add.1, G/SPS/N/RWA/31/Add.1, G/SPS/N/TZA/252/Add.1, G/SPS/N/UGA/235/Add.1")</f>
      </c>
      <c r="D1265" s="8" t="s">
        <v>4327</v>
      </c>
      <c r="E1265" s="8" t="s">
        <v>4328</v>
      </c>
      <c r="F1265" s="8" t="s">
        <v>4325</v>
      </c>
      <c r="G1265" s="6" t="s">
        <v>4326</v>
      </c>
      <c r="H1265" s="6" t="s">
        <v>320</v>
      </c>
      <c r="I1265" s="6" t="s">
        <v>38</v>
      </c>
      <c r="J1265" s="6" t="s">
        <v>1460</v>
      </c>
      <c r="K1265" s="6"/>
      <c r="L1265" s="7" t="s">
        <v>40</v>
      </c>
      <c r="M1265" s="6" t="s">
        <v>76</v>
      </c>
      <c r="N1265" s="6"/>
      <c r="O1265" s="6">
        <f>HYPERLINK("https://docs.wto.org/imrd/directdoc.asp?DDFDocuments/t/G/SPS/NBDI38A1.DOCX", "https://docs.wto.org/imrd/directdoc.asp?DDFDocuments/t/G/SPS/NBDI38A1.DOCX")</f>
      </c>
      <c r="P1265" s="6">
        <f>HYPERLINK("https://docs.wto.org/imrd/directdoc.asp?DDFDocuments/u/G/SPS/NBDI38A1.DOCX", "https://docs.wto.org/imrd/directdoc.asp?DDFDocuments/u/G/SPS/NBDI38A1.DOCX")</f>
      </c>
      <c r="Q1265" s="6">
        <f>HYPERLINK("https://docs.wto.org/imrd/directdoc.asp?DDFDocuments/v/G/SPS/NBDI38A1.DOCX", "https://docs.wto.org/imrd/directdoc.asp?DDFDocuments/v/G/SPS/NBDI38A1.DOCX")</f>
      </c>
    </row>
    <row r="1266">
      <c r="A1266" s="6" t="s">
        <v>2030</v>
      </c>
      <c r="B1266" s="7">
        <v>45478</v>
      </c>
      <c r="C1266" s="6">
        <f>HYPERLINK("https://eping.wto.org/en/Search?viewData= G/SPS/N/BDI/39/Add.1, G/SPS/N/KEN/195/Add.1, G/SPS/N/RWA/32/Add.1, G/SPS/N/TZA/253/Add.1, G/SPS/N/UGA/236/Add.1"," G/SPS/N/BDI/39/Add.1, G/SPS/N/KEN/195/Add.1, G/SPS/N/RWA/32/Add.1, G/SPS/N/TZA/253/Add.1, G/SPS/N/UGA/236/Add.1")</f>
      </c>
      <c r="D1266" s="8" t="s">
        <v>4323</v>
      </c>
      <c r="E1266" s="8" t="s">
        <v>4324</v>
      </c>
      <c r="F1266" s="8" t="s">
        <v>4325</v>
      </c>
      <c r="G1266" s="6" t="s">
        <v>4326</v>
      </c>
      <c r="H1266" s="6" t="s">
        <v>320</v>
      </c>
      <c r="I1266" s="6" t="s">
        <v>38</v>
      </c>
      <c r="J1266" s="6" t="s">
        <v>2589</v>
      </c>
      <c r="K1266" s="6"/>
      <c r="L1266" s="7" t="s">
        <v>40</v>
      </c>
      <c r="M1266" s="6" t="s">
        <v>76</v>
      </c>
      <c r="N1266" s="6"/>
      <c r="O1266" s="6">
        <f>HYPERLINK("https://docs.wto.org/imrd/directdoc.asp?DDFDocuments/t/G/SPS/NBDI39A1.DOCX", "https://docs.wto.org/imrd/directdoc.asp?DDFDocuments/t/G/SPS/NBDI39A1.DOCX")</f>
      </c>
      <c r="P1266" s="6">
        <f>HYPERLINK("https://docs.wto.org/imrd/directdoc.asp?DDFDocuments/u/G/SPS/NBDI39A1.DOCX", "https://docs.wto.org/imrd/directdoc.asp?DDFDocuments/u/G/SPS/NBDI39A1.DOCX")</f>
      </c>
      <c r="Q1266" s="6">
        <f>HYPERLINK("https://docs.wto.org/imrd/directdoc.asp?DDFDocuments/v/G/SPS/NBDI39A1.DOCX", "https://docs.wto.org/imrd/directdoc.asp?DDFDocuments/v/G/SPS/NBDI39A1.DOCX")</f>
      </c>
    </row>
    <row r="1267">
      <c r="A1267" s="6" t="s">
        <v>2024</v>
      </c>
      <c r="B1267" s="7">
        <v>45478</v>
      </c>
      <c r="C1267" s="6">
        <f>HYPERLINK("https://eping.wto.org/en/Search?viewData= G/SPS/N/BDI/43/Add.1, G/SPS/N/KEN/199/Add.1, G/SPS/N/RWA/36/Add.1, G/SPS/N/TZA/257/Add.1, G/SPS/N/UGA/240/Add.1"," G/SPS/N/BDI/43/Add.1, G/SPS/N/KEN/199/Add.1, G/SPS/N/RWA/36/Add.1, G/SPS/N/TZA/257/Add.1, G/SPS/N/UGA/240/Add.1")</f>
      </c>
      <c r="D1267" s="8" t="s">
        <v>4320</v>
      </c>
      <c r="E1267" s="8" t="s">
        <v>4321</v>
      </c>
      <c r="F1267" s="8" t="s">
        <v>4298</v>
      </c>
      <c r="G1267" s="6" t="s">
        <v>4299</v>
      </c>
      <c r="H1267" s="6" t="s">
        <v>3048</v>
      </c>
      <c r="I1267" s="6" t="s">
        <v>353</v>
      </c>
      <c r="J1267" s="6" t="s">
        <v>4329</v>
      </c>
      <c r="K1267" s="6"/>
      <c r="L1267" s="7" t="s">
        <v>40</v>
      </c>
      <c r="M1267" s="6" t="s">
        <v>76</v>
      </c>
      <c r="N1267" s="6"/>
      <c r="O1267" s="6">
        <f>HYPERLINK("https://docs.wto.org/imrd/directdoc.asp?DDFDocuments/t/G/SPS/NBDI43A1.DOCX", "https://docs.wto.org/imrd/directdoc.asp?DDFDocuments/t/G/SPS/NBDI43A1.DOCX")</f>
      </c>
      <c r="P1267" s="6">
        <f>HYPERLINK("https://docs.wto.org/imrd/directdoc.asp?DDFDocuments/u/G/SPS/NBDI43A1.DOCX", "https://docs.wto.org/imrd/directdoc.asp?DDFDocuments/u/G/SPS/NBDI43A1.DOCX")</f>
      </c>
      <c r="Q1267" s="6">
        <f>HYPERLINK("https://docs.wto.org/imrd/directdoc.asp?DDFDocuments/v/G/SPS/NBDI43A1.DOCX", "https://docs.wto.org/imrd/directdoc.asp?DDFDocuments/v/G/SPS/NBDI43A1.DOCX")</f>
      </c>
    </row>
    <row r="1268">
      <c r="A1268" s="6" t="s">
        <v>2041</v>
      </c>
      <c r="B1268" s="7">
        <v>45478</v>
      </c>
      <c r="C1268" s="6">
        <f>HYPERLINK("https://eping.wto.org/en/Search?viewData= G/SPS/N/BDI/42/Add.1, G/SPS/N/KEN/198/Add.1, G/SPS/N/RWA/35/Add.1, G/SPS/N/TZA/256/Add.1, G/SPS/N/UGA/239/Add.1"," G/SPS/N/BDI/42/Add.1, G/SPS/N/KEN/198/Add.1, G/SPS/N/RWA/35/Add.1, G/SPS/N/TZA/256/Add.1, G/SPS/N/UGA/239/Add.1")</f>
      </c>
      <c r="D1268" s="8" t="s">
        <v>4312</v>
      </c>
      <c r="E1268" s="8" t="s">
        <v>4313</v>
      </c>
      <c r="F1268" s="8" t="s">
        <v>4314</v>
      </c>
      <c r="G1268" s="6" t="s">
        <v>4315</v>
      </c>
      <c r="H1268" s="6" t="s">
        <v>320</v>
      </c>
      <c r="I1268" s="6" t="s">
        <v>38</v>
      </c>
      <c r="J1268" s="6" t="s">
        <v>1663</v>
      </c>
      <c r="K1268" s="6"/>
      <c r="L1268" s="7" t="s">
        <v>40</v>
      </c>
      <c r="M1268" s="6" t="s">
        <v>76</v>
      </c>
      <c r="N1268" s="6"/>
      <c r="O1268" s="6">
        <f>HYPERLINK("https://docs.wto.org/imrd/directdoc.asp?DDFDocuments/t/G/SPS/NBDI42A1.DOCX", "https://docs.wto.org/imrd/directdoc.asp?DDFDocuments/t/G/SPS/NBDI42A1.DOCX")</f>
      </c>
      <c r="P1268" s="6">
        <f>HYPERLINK("https://docs.wto.org/imrd/directdoc.asp?DDFDocuments/u/G/SPS/NBDI42A1.DOCX", "https://docs.wto.org/imrd/directdoc.asp?DDFDocuments/u/G/SPS/NBDI42A1.DOCX")</f>
      </c>
      <c r="Q1268" s="6">
        <f>HYPERLINK("https://docs.wto.org/imrd/directdoc.asp?DDFDocuments/v/G/SPS/NBDI42A1.DOCX", "https://docs.wto.org/imrd/directdoc.asp?DDFDocuments/v/G/SPS/NBDI42A1.DOCX")</f>
      </c>
    </row>
    <row r="1269">
      <c r="A1269" s="6" t="s">
        <v>2041</v>
      </c>
      <c r="B1269" s="7">
        <v>45478</v>
      </c>
      <c r="C1269" s="6">
        <f>HYPERLINK("https://eping.wto.org/en/Search?viewData= G/SPS/N/BDI/46/Add.1, G/SPS/N/KEN/202/Add.1, G/SPS/N/RWA/39/Add.1, G/SPS/N/TZA/260/Add.1, G/SPS/N/UGA/243/Add.1"," G/SPS/N/BDI/46/Add.1, G/SPS/N/KEN/202/Add.1, G/SPS/N/RWA/39/Add.1, G/SPS/N/TZA/260/Add.1, G/SPS/N/UGA/243/Add.1")</f>
      </c>
      <c r="D1269" s="8" t="s">
        <v>4296</v>
      </c>
      <c r="E1269" s="8" t="s">
        <v>4297</v>
      </c>
      <c r="F1269" s="8" t="s">
        <v>4298</v>
      </c>
      <c r="G1269" s="6" t="s">
        <v>4299</v>
      </c>
      <c r="H1269" s="6" t="s">
        <v>3048</v>
      </c>
      <c r="I1269" s="6" t="s">
        <v>791</v>
      </c>
      <c r="J1269" s="6" t="s">
        <v>4300</v>
      </c>
      <c r="K1269" s="6"/>
      <c r="L1269" s="7" t="s">
        <v>40</v>
      </c>
      <c r="M1269" s="6" t="s">
        <v>76</v>
      </c>
      <c r="N1269" s="6"/>
      <c r="O1269" s="6">
        <f>HYPERLINK("https://docs.wto.org/imrd/directdoc.asp?DDFDocuments/t/G/SPS/NBDI46A1.DOCX", "https://docs.wto.org/imrd/directdoc.asp?DDFDocuments/t/G/SPS/NBDI46A1.DOCX")</f>
      </c>
      <c r="P1269" s="6">
        <f>HYPERLINK("https://docs.wto.org/imrd/directdoc.asp?DDFDocuments/u/G/SPS/NBDI46A1.DOCX", "https://docs.wto.org/imrd/directdoc.asp?DDFDocuments/u/G/SPS/NBDI46A1.DOCX")</f>
      </c>
      <c r="Q1269" s="6">
        <f>HYPERLINK("https://docs.wto.org/imrd/directdoc.asp?DDFDocuments/v/G/SPS/NBDI46A1.DOCX", "https://docs.wto.org/imrd/directdoc.asp?DDFDocuments/v/G/SPS/NBDI46A1.DOCX")</f>
      </c>
    </row>
    <row r="1270">
      <c r="A1270" s="6" t="s">
        <v>17</v>
      </c>
      <c r="B1270" s="7">
        <v>45478</v>
      </c>
      <c r="C1270" s="6">
        <f>HYPERLINK("https://eping.wto.org/en/Search?viewData= G/SPS/N/BDI/39/Add.1, G/SPS/N/KEN/195/Add.1, G/SPS/N/RWA/32/Add.1, G/SPS/N/TZA/253/Add.1, G/SPS/N/UGA/236/Add.1"," G/SPS/N/BDI/39/Add.1, G/SPS/N/KEN/195/Add.1, G/SPS/N/RWA/32/Add.1, G/SPS/N/TZA/253/Add.1, G/SPS/N/UGA/236/Add.1")</f>
      </c>
      <c r="D1270" s="8" t="s">
        <v>4323</v>
      </c>
      <c r="E1270" s="8" t="s">
        <v>4324</v>
      </c>
      <c r="F1270" s="8" t="s">
        <v>4325</v>
      </c>
      <c r="G1270" s="6" t="s">
        <v>4326</v>
      </c>
      <c r="H1270" s="6" t="s">
        <v>320</v>
      </c>
      <c r="I1270" s="6" t="s">
        <v>38</v>
      </c>
      <c r="J1270" s="6" t="s">
        <v>1663</v>
      </c>
      <c r="K1270" s="6"/>
      <c r="L1270" s="7" t="s">
        <v>40</v>
      </c>
      <c r="M1270" s="6" t="s">
        <v>76</v>
      </c>
      <c r="N1270" s="6"/>
      <c r="O1270" s="6">
        <f>HYPERLINK("https://docs.wto.org/imrd/directdoc.asp?DDFDocuments/t/G/SPS/NBDI39A1.DOCX", "https://docs.wto.org/imrd/directdoc.asp?DDFDocuments/t/G/SPS/NBDI39A1.DOCX")</f>
      </c>
      <c r="P1270" s="6">
        <f>HYPERLINK("https://docs.wto.org/imrd/directdoc.asp?DDFDocuments/u/G/SPS/NBDI39A1.DOCX", "https://docs.wto.org/imrd/directdoc.asp?DDFDocuments/u/G/SPS/NBDI39A1.DOCX")</f>
      </c>
      <c r="Q1270" s="6">
        <f>HYPERLINK("https://docs.wto.org/imrd/directdoc.asp?DDFDocuments/v/G/SPS/NBDI39A1.DOCX", "https://docs.wto.org/imrd/directdoc.asp?DDFDocuments/v/G/SPS/NBDI39A1.DOCX")</f>
      </c>
    </row>
    <row r="1271">
      <c r="A1271" s="6" t="s">
        <v>880</v>
      </c>
      <c r="B1271" s="7">
        <v>45478</v>
      </c>
      <c r="C1271" s="6">
        <f>HYPERLINK("https://eping.wto.org/en/Search?viewData= G/SPS/N/BDI/43/Add.1, G/SPS/N/KEN/199/Add.1, G/SPS/N/RWA/36/Add.1, G/SPS/N/TZA/257/Add.1, G/SPS/N/UGA/240/Add.1"," G/SPS/N/BDI/43/Add.1, G/SPS/N/KEN/199/Add.1, G/SPS/N/RWA/36/Add.1, G/SPS/N/TZA/257/Add.1, G/SPS/N/UGA/240/Add.1")</f>
      </c>
      <c r="D1271" s="8" t="s">
        <v>4320</v>
      </c>
      <c r="E1271" s="8" t="s">
        <v>4321</v>
      </c>
      <c r="F1271" s="8" t="s">
        <v>4298</v>
      </c>
      <c r="G1271" s="6" t="s">
        <v>4299</v>
      </c>
      <c r="H1271" s="6" t="s">
        <v>3048</v>
      </c>
      <c r="I1271" s="6" t="s">
        <v>353</v>
      </c>
      <c r="J1271" s="6" t="s">
        <v>4322</v>
      </c>
      <c r="K1271" s="6"/>
      <c r="L1271" s="7" t="s">
        <v>40</v>
      </c>
      <c r="M1271" s="6" t="s">
        <v>76</v>
      </c>
      <c r="N1271" s="6"/>
      <c r="O1271" s="6">
        <f>HYPERLINK("https://docs.wto.org/imrd/directdoc.asp?DDFDocuments/t/G/SPS/NBDI43A1.DOCX", "https://docs.wto.org/imrd/directdoc.asp?DDFDocuments/t/G/SPS/NBDI43A1.DOCX")</f>
      </c>
      <c r="P1271" s="6">
        <f>HYPERLINK("https://docs.wto.org/imrd/directdoc.asp?DDFDocuments/u/G/SPS/NBDI43A1.DOCX", "https://docs.wto.org/imrd/directdoc.asp?DDFDocuments/u/G/SPS/NBDI43A1.DOCX")</f>
      </c>
      <c r="Q1271" s="6">
        <f>HYPERLINK("https://docs.wto.org/imrd/directdoc.asp?DDFDocuments/v/G/SPS/NBDI43A1.DOCX", "https://docs.wto.org/imrd/directdoc.asp?DDFDocuments/v/G/SPS/NBDI43A1.DOCX")</f>
      </c>
    </row>
    <row r="1272">
      <c r="A1272" s="6" t="s">
        <v>17</v>
      </c>
      <c r="B1272" s="7">
        <v>45478</v>
      </c>
      <c r="C1272" s="6">
        <f>HYPERLINK("https://eping.wto.org/en/Search?viewData= G/SPS/N/BDI/47/Add.1, G/SPS/N/KEN/203/Add.1, G/SPS/N/RWA/40/Add.1, G/SPS/N/TZA/261/Add.1, G/SPS/N/UGA/244/Add.1"," G/SPS/N/BDI/47/Add.1, G/SPS/N/KEN/203/Add.1, G/SPS/N/RWA/40/Add.1, G/SPS/N/TZA/261/Add.1, G/SPS/N/UGA/244/Add.1")</f>
      </c>
      <c r="D1272" s="8" t="s">
        <v>4308</v>
      </c>
      <c r="E1272" s="8" t="s">
        <v>4309</v>
      </c>
      <c r="F1272" s="8" t="s">
        <v>4298</v>
      </c>
      <c r="G1272" s="6" t="s">
        <v>4299</v>
      </c>
      <c r="H1272" s="6" t="s">
        <v>3048</v>
      </c>
      <c r="I1272" s="6" t="s">
        <v>791</v>
      </c>
      <c r="J1272" s="6" t="s">
        <v>4300</v>
      </c>
      <c r="K1272" s="6"/>
      <c r="L1272" s="7" t="s">
        <v>40</v>
      </c>
      <c r="M1272" s="6" t="s">
        <v>76</v>
      </c>
      <c r="N1272" s="6"/>
      <c r="O1272" s="6">
        <f>HYPERLINK("https://docs.wto.org/imrd/directdoc.asp?DDFDocuments/t/G/SPS/NBDI47A1.DOCX", "https://docs.wto.org/imrd/directdoc.asp?DDFDocuments/t/G/SPS/NBDI47A1.DOCX")</f>
      </c>
      <c r="P1272" s="6">
        <f>HYPERLINK("https://docs.wto.org/imrd/directdoc.asp?DDFDocuments/u/G/SPS/NBDI47A1.DOCX", "https://docs.wto.org/imrd/directdoc.asp?DDFDocuments/u/G/SPS/NBDI47A1.DOCX")</f>
      </c>
      <c r="Q1272" s="6">
        <f>HYPERLINK("https://docs.wto.org/imrd/directdoc.asp?DDFDocuments/v/G/SPS/NBDI47A1.DOCX", "https://docs.wto.org/imrd/directdoc.asp?DDFDocuments/v/G/SPS/NBDI47A1.DOCX")</f>
      </c>
    </row>
    <row r="1273">
      <c r="A1273" s="6" t="s">
        <v>2030</v>
      </c>
      <c r="B1273" s="7">
        <v>45478</v>
      </c>
      <c r="C1273" s="6">
        <f>HYPERLINK("https://eping.wto.org/en/Search?viewData= G/SPS/N/BDI/47/Add.1, G/SPS/N/KEN/203/Add.1, G/SPS/N/RWA/40/Add.1, G/SPS/N/TZA/261/Add.1, G/SPS/N/UGA/244/Add.1"," G/SPS/N/BDI/47/Add.1, G/SPS/N/KEN/203/Add.1, G/SPS/N/RWA/40/Add.1, G/SPS/N/TZA/261/Add.1, G/SPS/N/UGA/244/Add.1")</f>
      </c>
      <c r="D1273" s="8" t="s">
        <v>4308</v>
      </c>
      <c r="E1273" s="8" t="s">
        <v>4309</v>
      </c>
      <c r="F1273" s="8" t="s">
        <v>4298</v>
      </c>
      <c r="G1273" s="6" t="s">
        <v>4299</v>
      </c>
      <c r="H1273" s="6" t="s">
        <v>3048</v>
      </c>
      <c r="I1273" s="6" t="s">
        <v>791</v>
      </c>
      <c r="J1273" s="6" t="s">
        <v>4316</v>
      </c>
      <c r="K1273" s="6"/>
      <c r="L1273" s="7" t="s">
        <v>40</v>
      </c>
      <c r="M1273" s="6" t="s">
        <v>76</v>
      </c>
      <c r="N1273" s="6"/>
      <c r="O1273" s="6">
        <f>HYPERLINK("https://docs.wto.org/imrd/directdoc.asp?DDFDocuments/t/G/SPS/NBDI47A1.DOCX", "https://docs.wto.org/imrd/directdoc.asp?DDFDocuments/t/G/SPS/NBDI47A1.DOCX")</f>
      </c>
      <c r="P1273" s="6">
        <f>HYPERLINK("https://docs.wto.org/imrd/directdoc.asp?DDFDocuments/u/G/SPS/NBDI47A1.DOCX", "https://docs.wto.org/imrd/directdoc.asp?DDFDocuments/u/G/SPS/NBDI47A1.DOCX")</f>
      </c>
      <c r="Q1273" s="6">
        <f>HYPERLINK("https://docs.wto.org/imrd/directdoc.asp?DDFDocuments/v/G/SPS/NBDI47A1.DOCX", "https://docs.wto.org/imrd/directdoc.asp?DDFDocuments/v/G/SPS/NBDI47A1.DOCX")</f>
      </c>
    </row>
    <row r="1274">
      <c r="A1274" s="6" t="s">
        <v>2030</v>
      </c>
      <c r="B1274" s="7">
        <v>45478</v>
      </c>
      <c r="C1274" s="6">
        <f>HYPERLINK("https://eping.wto.org/en/Search?viewData= G/SPS/N/BDI/43/Add.1, G/SPS/N/KEN/199/Add.1, G/SPS/N/RWA/36/Add.1, G/SPS/N/TZA/257/Add.1, G/SPS/N/UGA/240/Add.1"," G/SPS/N/BDI/43/Add.1, G/SPS/N/KEN/199/Add.1, G/SPS/N/RWA/36/Add.1, G/SPS/N/TZA/257/Add.1, G/SPS/N/UGA/240/Add.1")</f>
      </c>
      <c r="D1274" s="8" t="s">
        <v>4320</v>
      </c>
      <c r="E1274" s="8" t="s">
        <v>4321</v>
      </c>
      <c r="F1274" s="8" t="s">
        <v>4298</v>
      </c>
      <c r="G1274" s="6" t="s">
        <v>4299</v>
      </c>
      <c r="H1274" s="6" t="s">
        <v>3048</v>
      </c>
      <c r="I1274" s="6" t="s">
        <v>353</v>
      </c>
      <c r="J1274" s="6" t="s">
        <v>4322</v>
      </c>
      <c r="K1274" s="6"/>
      <c r="L1274" s="7" t="s">
        <v>40</v>
      </c>
      <c r="M1274" s="6" t="s">
        <v>76</v>
      </c>
      <c r="N1274" s="6"/>
      <c r="O1274" s="6">
        <f>HYPERLINK("https://docs.wto.org/imrd/directdoc.asp?DDFDocuments/t/G/SPS/NBDI43A1.DOCX", "https://docs.wto.org/imrd/directdoc.asp?DDFDocuments/t/G/SPS/NBDI43A1.DOCX")</f>
      </c>
      <c r="P1274" s="6">
        <f>HYPERLINK("https://docs.wto.org/imrd/directdoc.asp?DDFDocuments/u/G/SPS/NBDI43A1.DOCX", "https://docs.wto.org/imrd/directdoc.asp?DDFDocuments/u/G/SPS/NBDI43A1.DOCX")</f>
      </c>
      <c r="Q1274" s="6">
        <f>HYPERLINK("https://docs.wto.org/imrd/directdoc.asp?DDFDocuments/v/G/SPS/NBDI43A1.DOCX", "https://docs.wto.org/imrd/directdoc.asp?DDFDocuments/v/G/SPS/NBDI43A1.DOCX")</f>
      </c>
    </row>
    <row r="1275">
      <c r="A1275" s="6" t="s">
        <v>2041</v>
      </c>
      <c r="B1275" s="7">
        <v>45478</v>
      </c>
      <c r="C1275" s="6">
        <f>HYPERLINK("https://eping.wto.org/en/Search?viewData= G/SPS/N/BDI/41/Add.1, G/SPS/N/KEN/197/Add.1, G/SPS/N/RWA/34/Add.1, G/SPS/N/TZA/255/Add.1, G/SPS/N/UGA/238/Add.1"," G/SPS/N/BDI/41/Add.1, G/SPS/N/KEN/197/Add.1, G/SPS/N/RWA/34/Add.1, G/SPS/N/TZA/255/Add.1, G/SPS/N/UGA/238/Add.1")</f>
      </c>
      <c r="D1275" s="8" t="s">
        <v>4292</v>
      </c>
      <c r="E1275" s="8" t="s">
        <v>4293</v>
      </c>
      <c r="F1275" s="8" t="s">
        <v>4294</v>
      </c>
      <c r="G1275" s="6" t="s">
        <v>4295</v>
      </c>
      <c r="H1275" s="6" t="s">
        <v>320</v>
      </c>
      <c r="I1275" s="6" t="s">
        <v>38</v>
      </c>
      <c r="J1275" s="6" t="s">
        <v>1663</v>
      </c>
      <c r="K1275" s="6"/>
      <c r="L1275" s="7" t="s">
        <v>40</v>
      </c>
      <c r="M1275" s="6" t="s">
        <v>76</v>
      </c>
      <c r="N1275" s="6"/>
      <c r="O1275" s="6">
        <f>HYPERLINK("https://docs.wto.org/imrd/directdoc.asp?DDFDocuments/t/G/SPS/NBDI41A1.DOCX", "https://docs.wto.org/imrd/directdoc.asp?DDFDocuments/t/G/SPS/NBDI41A1.DOCX")</f>
      </c>
      <c r="P1275" s="6">
        <f>HYPERLINK("https://docs.wto.org/imrd/directdoc.asp?DDFDocuments/u/G/SPS/NBDI41A1.DOCX", "https://docs.wto.org/imrd/directdoc.asp?DDFDocuments/u/G/SPS/NBDI41A1.DOCX")</f>
      </c>
      <c r="Q1275" s="6">
        <f>HYPERLINK("https://docs.wto.org/imrd/directdoc.asp?DDFDocuments/v/G/SPS/NBDI41A1.DOCX", "https://docs.wto.org/imrd/directdoc.asp?DDFDocuments/v/G/SPS/NBDI41A1.DOCX")</f>
      </c>
    </row>
    <row r="1276">
      <c r="A1276" s="6" t="s">
        <v>2041</v>
      </c>
      <c r="B1276" s="7">
        <v>45478</v>
      </c>
      <c r="C1276" s="6">
        <f>HYPERLINK("https://eping.wto.org/en/Search?viewData= G/SPS/N/BDI/43/Add.1, G/SPS/N/KEN/199/Add.1, G/SPS/N/RWA/36/Add.1, G/SPS/N/TZA/257/Add.1, G/SPS/N/UGA/240/Add.1"," G/SPS/N/BDI/43/Add.1, G/SPS/N/KEN/199/Add.1, G/SPS/N/RWA/36/Add.1, G/SPS/N/TZA/257/Add.1, G/SPS/N/UGA/240/Add.1")</f>
      </c>
      <c r="D1276" s="8" t="s">
        <v>4320</v>
      </c>
      <c r="E1276" s="8" t="s">
        <v>4321</v>
      </c>
      <c r="F1276" s="8" t="s">
        <v>4298</v>
      </c>
      <c r="G1276" s="6" t="s">
        <v>4299</v>
      </c>
      <c r="H1276" s="6" t="s">
        <v>3048</v>
      </c>
      <c r="I1276" s="6" t="s">
        <v>353</v>
      </c>
      <c r="J1276" s="6" t="s">
        <v>4322</v>
      </c>
      <c r="K1276" s="6"/>
      <c r="L1276" s="7" t="s">
        <v>40</v>
      </c>
      <c r="M1276" s="6" t="s">
        <v>76</v>
      </c>
      <c r="N1276" s="6"/>
      <c r="O1276" s="6">
        <f>HYPERLINK("https://docs.wto.org/imrd/directdoc.asp?DDFDocuments/t/G/SPS/NBDI43A1.DOCX", "https://docs.wto.org/imrd/directdoc.asp?DDFDocuments/t/G/SPS/NBDI43A1.DOCX")</f>
      </c>
      <c r="P1276" s="6">
        <f>HYPERLINK("https://docs.wto.org/imrd/directdoc.asp?DDFDocuments/u/G/SPS/NBDI43A1.DOCX", "https://docs.wto.org/imrd/directdoc.asp?DDFDocuments/u/G/SPS/NBDI43A1.DOCX")</f>
      </c>
      <c r="Q1276" s="6">
        <f>HYPERLINK("https://docs.wto.org/imrd/directdoc.asp?DDFDocuments/v/G/SPS/NBDI43A1.DOCX", "https://docs.wto.org/imrd/directdoc.asp?DDFDocuments/v/G/SPS/NBDI43A1.DOCX")</f>
      </c>
    </row>
    <row r="1277">
      <c r="A1277" s="6" t="s">
        <v>880</v>
      </c>
      <c r="B1277" s="7">
        <v>45478</v>
      </c>
      <c r="C1277" s="6">
        <f>HYPERLINK("https://eping.wto.org/en/Search?viewData= G/SPS/N/BDI/38/Add.1, G/SPS/N/KEN/194/Add.1, G/SPS/N/RWA/31/Add.1, G/SPS/N/TZA/252/Add.1, G/SPS/N/UGA/235/Add.1"," G/SPS/N/BDI/38/Add.1, G/SPS/N/KEN/194/Add.1, G/SPS/N/RWA/31/Add.1, G/SPS/N/TZA/252/Add.1, G/SPS/N/UGA/235/Add.1")</f>
      </c>
      <c r="D1277" s="8" t="s">
        <v>4327</v>
      </c>
      <c r="E1277" s="8" t="s">
        <v>4328</v>
      </c>
      <c r="F1277" s="8" t="s">
        <v>4325</v>
      </c>
      <c r="G1277" s="6" t="s">
        <v>4326</v>
      </c>
      <c r="H1277" s="6" t="s">
        <v>320</v>
      </c>
      <c r="I1277" s="6" t="s">
        <v>38</v>
      </c>
      <c r="J1277" s="6" t="s">
        <v>1663</v>
      </c>
      <c r="K1277" s="6"/>
      <c r="L1277" s="7" t="s">
        <v>40</v>
      </c>
      <c r="M1277" s="6" t="s">
        <v>76</v>
      </c>
      <c r="N1277" s="6"/>
      <c r="O1277" s="6">
        <f>HYPERLINK("https://docs.wto.org/imrd/directdoc.asp?DDFDocuments/t/G/SPS/NBDI38A1.DOCX", "https://docs.wto.org/imrd/directdoc.asp?DDFDocuments/t/G/SPS/NBDI38A1.DOCX")</f>
      </c>
      <c r="P1277" s="6">
        <f>HYPERLINK("https://docs.wto.org/imrd/directdoc.asp?DDFDocuments/u/G/SPS/NBDI38A1.DOCX", "https://docs.wto.org/imrd/directdoc.asp?DDFDocuments/u/G/SPS/NBDI38A1.DOCX")</f>
      </c>
      <c r="Q1277" s="6">
        <f>HYPERLINK("https://docs.wto.org/imrd/directdoc.asp?DDFDocuments/v/G/SPS/NBDI38A1.DOCX", "https://docs.wto.org/imrd/directdoc.asp?DDFDocuments/v/G/SPS/NBDI38A1.DOCX")</f>
      </c>
    </row>
    <row r="1278">
      <c r="A1278" s="6" t="s">
        <v>515</v>
      </c>
      <c r="B1278" s="7">
        <v>45478</v>
      </c>
      <c r="C1278" s="6">
        <f>HYPERLINK("https://eping.wto.org/en/Search?viewData= G/TBT/N/EU/1073"," G/TBT/N/EU/1073")</f>
      </c>
      <c r="D1278" s="8" t="s">
        <v>4330</v>
      </c>
      <c r="E1278" s="8" t="s">
        <v>4331</v>
      </c>
      <c r="F1278" s="8" t="s">
        <v>4332</v>
      </c>
      <c r="G1278" s="6" t="s">
        <v>40</v>
      </c>
      <c r="H1278" s="6" t="s">
        <v>4333</v>
      </c>
      <c r="I1278" s="6" t="s">
        <v>75</v>
      </c>
      <c r="J1278" s="6" t="s">
        <v>24</v>
      </c>
      <c r="K1278" s="6"/>
      <c r="L1278" s="7">
        <v>45538</v>
      </c>
      <c r="M1278" s="6" t="s">
        <v>25</v>
      </c>
      <c r="N1278" s="8" t="s">
        <v>4334</v>
      </c>
      <c r="O1278" s="6">
        <f>HYPERLINK("https://docs.wto.org/imrd/directdoc.asp?DDFDocuments/t/G/TBTN24/EU1073.DOCX", "https://docs.wto.org/imrd/directdoc.asp?DDFDocuments/t/G/TBTN24/EU1073.DOCX")</f>
      </c>
      <c r="P1278" s="6">
        <f>HYPERLINK("https://docs.wto.org/imrd/directdoc.asp?DDFDocuments/u/G/TBTN24/EU1073.DOCX", "https://docs.wto.org/imrd/directdoc.asp?DDFDocuments/u/G/TBTN24/EU1073.DOCX")</f>
      </c>
      <c r="Q1278" s="6">
        <f>HYPERLINK("https://docs.wto.org/imrd/directdoc.asp?DDFDocuments/v/G/TBTN24/EU1073.DOCX", "https://docs.wto.org/imrd/directdoc.asp?DDFDocuments/v/G/TBTN24/EU1073.DOCX")</f>
      </c>
    </row>
    <row r="1279">
      <c r="A1279" s="6" t="s">
        <v>115</v>
      </c>
      <c r="B1279" s="7">
        <v>45478</v>
      </c>
      <c r="C1279" s="6">
        <f>HYPERLINK("https://eping.wto.org/en/Search?viewData= G/SPS/N/BRA/2212/Add.1"," G/SPS/N/BRA/2212/Add.1")</f>
      </c>
      <c r="D1279" s="8" t="s">
        <v>4335</v>
      </c>
      <c r="E1279" s="8" t="s">
        <v>4336</v>
      </c>
      <c r="F1279" s="8" t="s">
        <v>951</v>
      </c>
      <c r="G1279" s="6" t="s">
        <v>40</v>
      </c>
      <c r="H1279" s="6" t="s">
        <v>1179</v>
      </c>
      <c r="I1279" s="6" t="s">
        <v>38</v>
      </c>
      <c r="J1279" s="6" t="s">
        <v>1387</v>
      </c>
      <c r="K1279" s="6"/>
      <c r="L1279" s="7">
        <v>45538</v>
      </c>
      <c r="M1279" s="6" t="s">
        <v>76</v>
      </c>
      <c r="N1279" s="8" t="s">
        <v>4337</v>
      </c>
      <c r="O1279" s="6">
        <f>HYPERLINK("https://docs.wto.org/imrd/directdoc.asp?DDFDocuments/t/G/SPS/NBRA2212A1.DOCX", "https://docs.wto.org/imrd/directdoc.asp?DDFDocuments/t/G/SPS/NBRA2212A1.DOCX")</f>
      </c>
      <c r="P1279" s="6">
        <f>HYPERLINK("https://docs.wto.org/imrd/directdoc.asp?DDFDocuments/u/G/SPS/NBRA2212A1.DOCX", "https://docs.wto.org/imrd/directdoc.asp?DDFDocuments/u/G/SPS/NBRA2212A1.DOCX")</f>
      </c>
      <c r="Q1279" s="6">
        <f>HYPERLINK("https://docs.wto.org/imrd/directdoc.asp?DDFDocuments/v/G/SPS/NBRA2212A1.DOCX", "https://docs.wto.org/imrd/directdoc.asp?DDFDocuments/v/G/SPS/NBRA2212A1.DOCX")</f>
      </c>
    </row>
    <row r="1280">
      <c r="A1280" s="6" t="s">
        <v>17</v>
      </c>
      <c r="B1280" s="7">
        <v>45478</v>
      </c>
      <c r="C1280" s="6">
        <f>HYPERLINK("https://eping.wto.org/en/Search?viewData= G/SPS/N/BDI/40/Add.1, G/SPS/N/KEN/196/Add.1, G/SPS/N/RWA/33/Add.1, G/SPS/N/TZA/254/Add.1, G/SPS/N/UGA/237/Add.1"," G/SPS/N/BDI/40/Add.1, G/SPS/N/KEN/196/Add.1, G/SPS/N/RWA/33/Add.1, G/SPS/N/TZA/254/Add.1, G/SPS/N/UGA/237/Add.1")</f>
      </c>
      <c r="D1280" s="8" t="s">
        <v>4304</v>
      </c>
      <c r="E1280" s="8" t="s">
        <v>4305</v>
      </c>
      <c r="F1280" s="8" t="s">
        <v>4306</v>
      </c>
      <c r="G1280" s="6" t="s">
        <v>4307</v>
      </c>
      <c r="H1280" s="6" t="s">
        <v>320</v>
      </c>
      <c r="I1280" s="6" t="s">
        <v>38</v>
      </c>
      <c r="J1280" s="6" t="s">
        <v>1663</v>
      </c>
      <c r="K1280" s="6"/>
      <c r="L1280" s="7" t="s">
        <v>40</v>
      </c>
      <c r="M1280" s="6" t="s">
        <v>76</v>
      </c>
      <c r="N1280" s="6"/>
      <c r="O1280" s="6">
        <f>HYPERLINK("https://docs.wto.org/imrd/directdoc.asp?DDFDocuments/t/G/SPS/NBDI40A1.DOCX", "https://docs.wto.org/imrd/directdoc.asp?DDFDocuments/t/G/SPS/NBDI40A1.DOCX")</f>
      </c>
      <c r="P1280" s="6">
        <f>HYPERLINK("https://docs.wto.org/imrd/directdoc.asp?DDFDocuments/u/G/SPS/NBDI40A1.DOCX", "https://docs.wto.org/imrd/directdoc.asp?DDFDocuments/u/G/SPS/NBDI40A1.DOCX")</f>
      </c>
      <c r="Q1280" s="6">
        <f>HYPERLINK("https://docs.wto.org/imrd/directdoc.asp?DDFDocuments/v/G/SPS/NBDI40A1.DOCX", "https://docs.wto.org/imrd/directdoc.asp?DDFDocuments/v/G/SPS/NBDI40A1.DOCX")</f>
      </c>
    </row>
    <row r="1281">
      <c r="A1281" s="6" t="s">
        <v>2041</v>
      </c>
      <c r="B1281" s="7">
        <v>45478</v>
      </c>
      <c r="C1281" s="6">
        <f>HYPERLINK("https://eping.wto.org/en/Search?viewData= G/SPS/N/BDI/40/Add.1, G/SPS/N/KEN/196/Add.1, G/SPS/N/RWA/33/Add.1, G/SPS/N/TZA/254/Add.1, G/SPS/N/UGA/237/Add.1"," G/SPS/N/BDI/40/Add.1, G/SPS/N/KEN/196/Add.1, G/SPS/N/RWA/33/Add.1, G/SPS/N/TZA/254/Add.1, G/SPS/N/UGA/237/Add.1")</f>
      </c>
      <c r="D1281" s="8" t="s">
        <v>4304</v>
      </c>
      <c r="E1281" s="8" t="s">
        <v>4305</v>
      </c>
      <c r="F1281" s="8" t="s">
        <v>4306</v>
      </c>
      <c r="G1281" s="6" t="s">
        <v>4307</v>
      </c>
      <c r="H1281" s="6" t="s">
        <v>320</v>
      </c>
      <c r="I1281" s="6" t="s">
        <v>38</v>
      </c>
      <c r="J1281" s="6" t="s">
        <v>1663</v>
      </c>
      <c r="K1281" s="6"/>
      <c r="L1281" s="7" t="s">
        <v>40</v>
      </c>
      <c r="M1281" s="6" t="s">
        <v>76</v>
      </c>
      <c r="N1281" s="6"/>
      <c r="O1281" s="6">
        <f>HYPERLINK("https://docs.wto.org/imrd/directdoc.asp?DDFDocuments/t/G/SPS/NBDI40A1.DOCX", "https://docs.wto.org/imrd/directdoc.asp?DDFDocuments/t/G/SPS/NBDI40A1.DOCX")</f>
      </c>
      <c r="P1281" s="6">
        <f>HYPERLINK("https://docs.wto.org/imrd/directdoc.asp?DDFDocuments/u/G/SPS/NBDI40A1.DOCX", "https://docs.wto.org/imrd/directdoc.asp?DDFDocuments/u/G/SPS/NBDI40A1.DOCX")</f>
      </c>
      <c r="Q1281" s="6">
        <f>HYPERLINK("https://docs.wto.org/imrd/directdoc.asp?DDFDocuments/v/G/SPS/NBDI40A1.DOCX", "https://docs.wto.org/imrd/directdoc.asp?DDFDocuments/v/G/SPS/NBDI40A1.DOCX")</f>
      </c>
    </row>
    <row r="1282">
      <c r="A1282" s="6" t="s">
        <v>2024</v>
      </c>
      <c r="B1282" s="7">
        <v>45478</v>
      </c>
      <c r="C1282" s="6">
        <f>HYPERLINK("https://eping.wto.org/en/Search?viewData= G/SPS/N/BDI/39/Add.1, G/SPS/N/KEN/195/Add.1, G/SPS/N/RWA/32/Add.1, G/SPS/N/TZA/253/Add.1, G/SPS/N/UGA/236/Add.1"," G/SPS/N/BDI/39/Add.1, G/SPS/N/KEN/195/Add.1, G/SPS/N/RWA/32/Add.1, G/SPS/N/TZA/253/Add.1, G/SPS/N/UGA/236/Add.1")</f>
      </c>
      <c r="D1282" s="8" t="s">
        <v>4323</v>
      </c>
      <c r="E1282" s="8" t="s">
        <v>4324</v>
      </c>
      <c r="F1282" s="8" t="s">
        <v>4325</v>
      </c>
      <c r="G1282" s="6" t="s">
        <v>4326</v>
      </c>
      <c r="H1282" s="6" t="s">
        <v>320</v>
      </c>
      <c r="I1282" s="6" t="s">
        <v>38</v>
      </c>
      <c r="J1282" s="6" t="s">
        <v>1460</v>
      </c>
      <c r="K1282" s="6"/>
      <c r="L1282" s="7" t="s">
        <v>40</v>
      </c>
      <c r="M1282" s="6" t="s">
        <v>76</v>
      </c>
      <c r="N1282" s="6"/>
      <c r="O1282" s="6">
        <f>HYPERLINK("https://docs.wto.org/imrd/directdoc.asp?DDFDocuments/t/G/SPS/NBDI39A1.DOCX", "https://docs.wto.org/imrd/directdoc.asp?DDFDocuments/t/G/SPS/NBDI39A1.DOCX")</f>
      </c>
      <c r="P1282" s="6">
        <f>HYPERLINK("https://docs.wto.org/imrd/directdoc.asp?DDFDocuments/u/G/SPS/NBDI39A1.DOCX", "https://docs.wto.org/imrd/directdoc.asp?DDFDocuments/u/G/SPS/NBDI39A1.DOCX")</f>
      </c>
      <c r="Q1282" s="6">
        <f>HYPERLINK("https://docs.wto.org/imrd/directdoc.asp?DDFDocuments/v/G/SPS/NBDI39A1.DOCX", "https://docs.wto.org/imrd/directdoc.asp?DDFDocuments/v/G/SPS/NBDI39A1.DOCX")</f>
      </c>
    </row>
    <row r="1283">
      <c r="A1283" s="6" t="s">
        <v>2041</v>
      </c>
      <c r="B1283" s="7">
        <v>45478</v>
      </c>
      <c r="C1283" s="6">
        <f>HYPERLINK("https://eping.wto.org/en/Search?viewData= G/SPS/N/BDI/38/Add.1, G/SPS/N/KEN/194/Add.1, G/SPS/N/RWA/31/Add.1, G/SPS/N/TZA/252/Add.1, G/SPS/N/UGA/235/Add.1"," G/SPS/N/BDI/38/Add.1, G/SPS/N/KEN/194/Add.1, G/SPS/N/RWA/31/Add.1, G/SPS/N/TZA/252/Add.1, G/SPS/N/UGA/235/Add.1")</f>
      </c>
      <c r="D1283" s="8" t="s">
        <v>4327</v>
      </c>
      <c r="E1283" s="8" t="s">
        <v>4328</v>
      </c>
      <c r="F1283" s="8" t="s">
        <v>4325</v>
      </c>
      <c r="G1283" s="6" t="s">
        <v>4326</v>
      </c>
      <c r="H1283" s="6" t="s">
        <v>320</v>
      </c>
      <c r="I1283" s="6" t="s">
        <v>38</v>
      </c>
      <c r="J1283" s="6" t="s">
        <v>1663</v>
      </c>
      <c r="K1283" s="6"/>
      <c r="L1283" s="7" t="s">
        <v>40</v>
      </c>
      <c r="M1283" s="6" t="s">
        <v>76</v>
      </c>
      <c r="N1283" s="6"/>
      <c r="O1283" s="6">
        <f>HYPERLINK("https://docs.wto.org/imrd/directdoc.asp?DDFDocuments/t/G/SPS/NBDI38A1.DOCX", "https://docs.wto.org/imrd/directdoc.asp?DDFDocuments/t/G/SPS/NBDI38A1.DOCX")</f>
      </c>
      <c r="P1283" s="6">
        <f>HYPERLINK("https://docs.wto.org/imrd/directdoc.asp?DDFDocuments/u/G/SPS/NBDI38A1.DOCX", "https://docs.wto.org/imrd/directdoc.asp?DDFDocuments/u/G/SPS/NBDI38A1.DOCX")</f>
      </c>
      <c r="Q1283" s="6">
        <f>HYPERLINK("https://docs.wto.org/imrd/directdoc.asp?DDFDocuments/v/G/SPS/NBDI38A1.DOCX", "https://docs.wto.org/imrd/directdoc.asp?DDFDocuments/v/G/SPS/NBDI38A1.DOCX")</f>
      </c>
    </row>
    <row r="1284">
      <c r="A1284" s="6" t="s">
        <v>307</v>
      </c>
      <c r="B1284" s="7">
        <v>45478</v>
      </c>
      <c r="C1284" s="6">
        <f>HYPERLINK("https://eping.wto.org/en/Search?viewData= G/TBT/N/CAN/645/Add.2"," G/TBT/N/CAN/645/Add.2")</f>
      </c>
      <c r="D1284" s="8" t="s">
        <v>4338</v>
      </c>
      <c r="E1284" s="8" t="s">
        <v>4339</v>
      </c>
      <c r="F1284" s="8" t="s">
        <v>4340</v>
      </c>
      <c r="G1284" s="6" t="s">
        <v>3047</v>
      </c>
      <c r="H1284" s="6" t="s">
        <v>3048</v>
      </c>
      <c r="I1284" s="6" t="s">
        <v>2991</v>
      </c>
      <c r="J1284" s="6" t="s">
        <v>3826</v>
      </c>
      <c r="K1284" s="6"/>
      <c r="L1284" s="7" t="s">
        <v>40</v>
      </c>
      <c r="M1284" s="6" t="s">
        <v>76</v>
      </c>
      <c r="N1284" s="8" t="s">
        <v>4341</v>
      </c>
      <c r="O1284" s="6">
        <f>HYPERLINK("https://docs.wto.org/imrd/directdoc.asp?DDFDocuments/t/G/TBTN21/CAN645A2.DOCX", "https://docs.wto.org/imrd/directdoc.asp?DDFDocuments/t/G/TBTN21/CAN645A2.DOCX")</f>
      </c>
      <c r="P1284" s="6">
        <f>HYPERLINK("https://docs.wto.org/imrd/directdoc.asp?DDFDocuments/u/G/TBTN21/CAN645A2.DOCX", "https://docs.wto.org/imrd/directdoc.asp?DDFDocuments/u/G/TBTN21/CAN645A2.DOCX")</f>
      </c>
      <c r="Q1284" s="6">
        <f>HYPERLINK("https://docs.wto.org/imrd/directdoc.asp?DDFDocuments/v/G/TBTN21/CAN645A2.DOCX", "https://docs.wto.org/imrd/directdoc.asp?DDFDocuments/v/G/TBTN21/CAN645A2.DOCX")</f>
      </c>
    </row>
    <row r="1285">
      <c r="A1285" s="6" t="s">
        <v>2024</v>
      </c>
      <c r="B1285" s="7">
        <v>45478</v>
      </c>
      <c r="C1285" s="6">
        <f>HYPERLINK("https://eping.wto.org/en/Search?viewData= G/SPS/N/BDI/47/Add.1, G/SPS/N/KEN/203/Add.1, G/SPS/N/RWA/40/Add.1, G/SPS/N/TZA/261/Add.1, G/SPS/N/UGA/244/Add.1"," G/SPS/N/BDI/47/Add.1, G/SPS/N/KEN/203/Add.1, G/SPS/N/RWA/40/Add.1, G/SPS/N/TZA/261/Add.1, G/SPS/N/UGA/244/Add.1")</f>
      </c>
      <c r="D1285" s="8" t="s">
        <v>4308</v>
      </c>
      <c r="E1285" s="8" t="s">
        <v>4309</v>
      </c>
      <c r="F1285" s="8" t="s">
        <v>4298</v>
      </c>
      <c r="G1285" s="6" t="s">
        <v>4299</v>
      </c>
      <c r="H1285" s="6" t="s">
        <v>3048</v>
      </c>
      <c r="I1285" s="6" t="s">
        <v>791</v>
      </c>
      <c r="J1285" s="6" t="s">
        <v>4342</v>
      </c>
      <c r="K1285" s="6"/>
      <c r="L1285" s="7" t="s">
        <v>40</v>
      </c>
      <c r="M1285" s="6" t="s">
        <v>76</v>
      </c>
      <c r="N1285" s="6"/>
      <c r="O1285" s="6">
        <f>HYPERLINK("https://docs.wto.org/imrd/directdoc.asp?DDFDocuments/t/G/SPS/NBDI47A1.DOCX", "https://docs.wto.org/imrd/directdoc.asp?DDFDocuments/t/G/SPS/NBDI47A1.DOCX")</f>
      </c>
      <c r="P1285" s="6">
        <f>HYPERLINK("https://docs.wto.org/imrd/directdoc.asp?DDFDocuments/u/G/SPS/NBDI47A1.DOCX", "https://docs.wto.org/imrd/directdoc.asp?DDFDocuments/u/G/SPS/NBDI47A1.DOCX")</f>
      </c>
      <c r="Q1285" s="6">
        <f>HYPERLINK("https://docs.wto.org/imrd/directdoc.asp?DDFDocuments/v/G/SPS/NBDI47A1.DOCX", "https://docs.wto.org/imrd/directdoc.asp?DDFDocuments/v/G/SPS/NBDI47A1.DOCX")</f>
      </c>
    </row>
    <row r="1286">
      <c r="A1286" s="6" t="s">
        <v>2041</v>
      </c>
      <c r="B1286" s="7">
        <v>45478</v>
      </c>
      <c r="C1286" s="6">
        <f>HYPERLINK("https://eping.wto.org/en/Search?viewData= G/SPS/N/BDI/47/Add.1, G/SPS/N/KEN/203/Add.1, G/SPS/N/RWA/40/Add.1, G/SPS/N/TZA/261/Add.1, G/SPS/N/UGA/244/Add.1"," G/SPS/N/BDI/47/Add.1, G/SPS/N/KEN/203/Add.1, G/SPS/N/RWA/40/Add.1, G/SPS/N/TZA/261/Add.1, G/SPS/N/UGA/244/Add.1")</f>
      </c>
      <c r="D1286" s="8" t="s">
        <v>4308</v>
      </c>
      <c r="E1286" s="8" t="s">
        <v>4309</v>
      </c>
      <c r="F1286" s="8" t="s">
        <v>4298</v>
      </c>
      <c r="G1286" s="6" t="s">
        <v>4299</v>
      </c>
      <c r="H1286" s="6" t="s">
        <v>3048</v>
      </c>
      <c r="I1286" s="6" t="s">
        <v>791</v>
      </c>
      <c r="J1286" s="6" t="s">
        <v>4300</v>
      </c>
      <c r="K1286" s="6"/>
      <c r="L1286" s="7" t="s">
        <v>40</v>
      </c>
      <c r="M1286" s="6" t="s">
        <v>76</v>
      </c>
      <c r="N1286" s="6"/>
      <c r="O1286" s="6">
        <f>HYPERLINK("https://docs.wto.org/imrd/directdoc.asp?DDFDocuments/t/G/SPS/NBDI47A1.DOCX", "https://docs.wto.org/imrd/directdoc.asp?DDFDocuments/t/G/SPS/NBDI47A1.DOCX")</f>
      </c>
      <c r="P1286" s="6">
        <f>HYPERLINK("https://docs.wto.org/imrd/directdoc.asp?DDFDocuments/u/G/SPS/NBDI47A1.DOCX", "https://docs.wto.org/imrd/directdoc.asp?DDFDocuments/u/G/SPS/NBDI47A1.DOCX")</f>
      </c>
      <c r="Q1286" s="6">
        <f>HYPERLINK("https://docs.wto.org/imrd/directdoc.asp?DDFDocuments/v/G/SPS/NBDI47A1.DOCX", "https://docs.wto.org/imrd/directdoc.asp?DDFDocuments/v/G/SPS/NBDI47A1.DOCX")</f>
      </c>
    </row>
    <row r="1287">
      <c r="A1287" s="6" t="s">
        <v>2024</v>
      </c>
      <c r="B1287" s="7">
        <v>45478</v>
      </c>
      <c r="C1287" s="6">
        <f>HYPERLINK("https://eping.wto.org/en/Search?viewData= G/SPS/N/BDI/46/Add.1, G/SPS/N/KEN/202/Add.1, G/SPS/N/RWA/39/Add.1, G/SPS/N/TZA/260/Add.1, G/SPS/N/UGA/243/Add.1"," G/SPS/N/BDI/46/Add.1, G/SPS/N/KEN/202/Add.1, G/SPS/N/RWA/39/Add.1, G/SPS/N/TZA/260/Add.1, G/SPS/N/UGA/243/Add.1")</f>
      </c>
      <c r="D1287" s="8" t="s">
        <v>4296</v>
      </c>
      <c r="E1287" s="8" t="s">
        <v>4297</v>
      </c>
      <c r="F1287" s="8" t="s">
        <v>4298</v>
      </c>
      <c r="G1287" s="6" t="s">
        <v>4299</v>
      </c>
      <c r="H1287" s="6" t="s">
        <v>3048</v>
      </c>
      <c r="I1287" s="6" t="s">
        <v>791</v>
      </c>
      <c r="J1287" s="6" t="s">
        <v>4300</v>
      </c>
      <c r="K1287" s="6"/>
      <c r="L1287" s="7" t="s">
        <v>40</v>
      </c>
      <c r="M1287" s="6" t="s">
        <v>76</v>
      </c>
      <c r="N1287" s="6"/>
      <c r="O1287" s="6">
        <f>HYPERLINK("https://docs.wto.org/imrd/directdoc.asp?DDFDocuments/t/G/SPS/NBDI46A1.DOCX", "https://docs.wto.org/imrd/directdoc.asp?DDFDocuments/t/G/SPS/NBDI46A1.DOCX")</f>
      </c>
      <c r="P1287" s="6">
        <f>HYPERLINK("https://docs.wto.org/imrd/directdoc.asp?DDFDocuments/u/G/SPS/NBDI46A1.DOCX", "https://docs.wto.org/imrd/directdoc.asp?DDFDocuments/u/G/SPS/NBDI46A1.DOCX")</f>
      </c>
      <c r="Q1287" s="6">
        <f>HYPERLINK("https://docs.wto.org/imrd/directdoc.asp?DDFDocuments/v/G/SPS/NBDI46A1.DOCX", "https://docs.wto.org/imrd/directdoc.asp?DDFDocuments/v/G/SPS/NBDI46A1.DOCX")</f>
      </c>
    </row>
    <row r="1288">
      <c r="A1288" s="6" t="s">
        <v>880</v>
      </c>
      <c r="B1288" s="7">
        <v>45478</v>
      </c>
      <c r="C1288" s="6">
        <f>HYPERLINK("https://eping.wto.org/en/Search?viewData= G/SPS/N/BDI/39/Add.1, G/SPS/N/KEN/195/Add.1, G/SPS/N/RWA/32/Add.1, G/SPS/N/TZA/253/Add.1, G/SPS/N/UGA/236/Add.1"," G/SPS/N/BDI/39/Add.1, G/SPS/N/KEN/195/Add.1, G/SPS/N/RWA/32/Add.1, G/SPS/N/TZA/253/Add.1, G/SPS/N/UGA/236/Add.1")</f>
      </c>
      <c r="D1288" s="8" t="s">
        <v>4323</v>
      </c>
      <c r="E1288" s="8" t="s">
        <v>4324</v>
      </c>
      <c r="F1288" s="8" t="s">
        <v>4325</v>
      </c>
      <c r="G1288" s="6" t="s">
        <v>4326</v>
      </c>
      <c r="H1288" s="6" t="s">
        <v>320</v>
      </c>
      <c r="I1288" s="6" t="s">
        <v>38</v>
      </c>
      <c r="J1288" s="6" t="s">
        <v>1663</v>
      </c>
      <c r="K1288" s="6"/>
      <c r="L1288" s="7" t="s">
        <v>40</v>
      </c>
      <c r="M1288" s="6" t="s">
        <v>76</v>
      </c>
      <c r="N1288" s="6"/>
      <c r="O1288" s="6">
        <f>HYPERLINK("https://docs.wto.org/imrd/directdoc.asp?DDFDocuments/t/G/SPS/NBDI39A1.DOCX", "https://docs.wto.org/imrd/directdoc.asp?DDFDocuments/t/G/SPS/NBDI39A1.DOCX")</f>
      </c>
      <c r="P1288" s="6">
        <f>HYPERLINK("https://docs.wto.org/imrd/directdoc.asp?DDFDocuments/u/G/SPS/NBDI39A1.DOCX", "https://docs.wto.org/imrd/directdoc.asp?DDFDocuments/u/G/SPS/NBDI39A1.DOCX")</f>
      </c>
      <c r="Q1288" s="6">
        <f>HYPERLINK("https://docs.wto.org/imrd/directdoc.asp?DDFDocuments/v/G/SPS/NBDI39A1.DOCX", "https://docs.wto.org/imrd/directdoc.asp?DDFDocuments/v/G/SPS/NBDI39A1.DOCX")</f>
      </c>
    </row>
    <row r="1289">
      <c r="A1289" s="6" t="s">
        <v>17</v>
      </c>
      <c r="B1289" s="7">
        <v>45478</v>
      </c>
      <c r="C1289" s="6">
        <f>HYPERLINK("https://eping.wto.org/en/Search?viewData= G/SPS/N/BDI/38/Add.1, G/SPS/N/KEN/194/Add.1, G/SPS/N/RWA/31/Add.1, G/SPS/N/TZA/252/Add.1, G/SPS/N/UGA/235/Add.1"," G/SPS/N/BDI/38/Add.1, G/SPS/N/KEN/194/Add.1, G/SPS/N/RWA/31/Add.1, G/SPS/N/TZA/252/Add.1, G/SPS/N/UGA/235/Add.1")</f>
      </c>
      <c r="D1289" s="8" t="s">
        <v>4327</v>
      </c>
      <c r="E1289" s="8" t="s">
        <v>4328</v>
      </c>
      <c r="F1289" s="8" t="s">
        <v>4325</v>
      </c>
      <c r="G1289" s="6" t="s">
        <v>4326</v>
      </c>
      <c r="H1289" s="6" t="s">
        <v>320</v>
      </c>
      <c r="I1289" s="6" t="s">
        <v>38</v>
      </c>
      <c r="J1289" s="6" t="s">
        <v>1663</v>
      </c>
      <c r="K1289" s="6"/>
      <c r="L1289" s="7" t="s">
        <v>40</v>
      </c>
      <c r="M1289" s="6" t="s">
        <v>76</v>
      </c>
      <c r="N1289" s="6"/>
      <c r="O1289" s="6">
        <f>HYPERLINK("https://docs.wto.org/imrd/directdoc.asp?DDFDocuments/t/G/SPS/NBDI38A1.DOCX", "https://docs.wto.org/imrd/directdoc.asp?DDFDocuments/t/G/SPS/NBDI38A1.DOCX")</f>
      </c>
      <c r="P1289" s="6">
        <f>HYPERLINK("https://docs.wto.org/imrd/directdoc.asp?DDFDocuments/u/G/SPS/NBDI38A1.DOCX", "https://docs.wto.org/imrd/directdoc.asp?DDFDocuments/u/G/SPS/NBDI38A1.DOCX")</f>
      </c>
      <c r="Q1289" s="6">
        <f>HYPERLINK("https://docs.wto.org/imrd/directdoc.asp?DDFDocuments/v/G/SPS/NBDI38A1.DOCX", "https://docs.wto.org/imrd/directdoc.asp?DDFDocuments/v/G/SPS/NBDI38A1.DOCX")</f>
      </c>
    </row>
    <row r="1290">
      <c r="A1290" s="6" t="s">
        <v>17</v>
      </c>
      <c r="B1290" s="7">
        <v>45478</v>
      </c>
      <c r="C1290" s="6">
        <f>HYPERLINK("https://eping.wto.org/en/Search?viewData= G/SPS/N/BDI/45/Add.1, G/SPS/N/KEN/201/Add.1, G/SPS/N/RWA/38/Add.1, G/SPS/N/TZA/259/Add.1, G/SPS/N/UGA/242/Add.1"," G/SPS/N/BDI/45/Add.1, G/SPS/N/KEN/201/Add.1, G/SPS/N/RWA/38/Add.1, G/SPS/N/TZA/259/Add.1, G/SPS/N/UGA/242/Add.1")</f>
      </c>
      <c r="D1290" s="8" t="s">
        <v>4301</v>
      </c>
      <c r="E1290" s="8" t="s">
        <v>4302</v>
      </c>
      <c r="F1290" s="8" t="s">
        <v>4298</v>
      </c>
      <c r="G1290" s="6" t="s">
        <v>4299</v>
      </c>
      <c r="H1290" s="6" t="s">
        <v>3048</v>
      </c>
      <c r="I1290" s="6" t="s">
        <v>791</v>
      </c>
      <c r="J1290" s="6" t="s">
        <v>4300</v>
      </c>
      <c r="K1290" s="6"/>
      <c r="L1290" s="7" t="s">
        <v>40</v>
      </c>
      <c r="M1290" s="6" t="s">
        <v>76</v>
      </c>
      <c r="N1290" s="6"/>
      <c r="O1290" s="6">
        <f>HYPERLINK("https://docs.wto.org/imrd/directdoc.asp?DDFDocuments/t/G/SPS/NBDI45A1.DOCX", "https://docs.wto.org/imrd/directdoc.asp?DDFDocuments/t/G/SPS/NBDI45A1.DOCX")</f>
      </c>
      <c r="P1290" s="6">
        <f>HYPERLINK("https://docs.wto.org/imrd/directdoc.asp?DDFDocuments/u/G/SPS/NBDI45A1.DOCX", "https://docs.wto.org/imrd/directdoc.asp?DDFDocuments/u/G/SPS/NBDI45A1.DOCX")</f>
      </c>
      <c r="Q1290" s="6">
        <f>HYPERLINK("https://docs.wto.org/imrd/directdoc.asp?DDFDocuments/v/G/SPS/NBDI45A1.DOCX", "https://docs.wto.org/imrd/directdoc.asp?DDFDocuments/v/G/SPS/NBDI45A1.DOCX")</f>
      </c>
    </row>
    <row r="1291">
      <c r="A1291" s="6" t="s">
        <v>2030</v>
      </c>
      <c r="B1291" s="7">
        <v>45478</v>
      </c>
      <c r="C1291" s="6">
        <f>HYPERLINK("https://eping.wto.org/en/Search?viewData= G/SPS/N/BDI/38/Add.1, G/SPS/N/KEN/194/Add.1, G/SPS/N/RWA/31/Add.1, G/SPS/N/TZA/252/Add.1, G/SPS/N/UGA/235/Add.1"," G/SPS/N/BDI/38/Add.1, G/SPS/N/KEN/194/Add.1, G/SPS/N/RWA/31/Add.1, G/SPS/N/TZA/252/Add.1, G/SPS/N/UGA/235/Add.1")</f>
      </c>
      <c r="D1291" s="8" t="s">
        <v>4327</v>
      </c>
      <c r="E1291" s="8" t="s">
        <v>4328</v>
      </c>
      <c r="F1291" s="8" t="s">
        <v>4325</v>
      </c>
      <c r="G1291" s="6" t="s">
        <v>4326</v>
      </c>
      <c r="H1291" s="6" t="s">
        <v>320</v>
      </c>
      <c r="I1291" s="6" t="s">
        <v>38</v>
      </c>
      <c r="J1291" s="6" t="s">
        <v>2589</v>
      </c>
      <c r="K1291" s="6"/>
      <c r="L1291" s="7" t="s">
        <v>40</v>
      </c>
      <c r="M1291" s="6" t="s">
        <v>76</v>
      </c>
      <c r="N1291" s="6"/>
      <c r="O1291" s="6">
        <f>HYPERLINK("https://docs.wto.org/imrd/directdoc.asp?DDFDocuments/t/G/SPS/NBDI38A1.DOCX", "https://docs.wto.org/imrd/directdoc.asp?DDFDocuments/t/G/SPS/NBDI38A1.DOCX")</f>
      </c>
      <c r="P1291" s="6">
        <f>HYPERLINK("https://docs.wto.org/imrd/directdoc.asp?DDFDocuments/u/G/SPS/NBDI38A1.DOCX", "https://docs.wto.org/imrd/directdoc.asp?DDFDocuments/u/G/SPS/NBDI38A1.DOCX")</f>
      </c>
      <c r="Q1291" s="6">
        <f>HYPERLINK("https://docs.wto.org/imrd/directdoc.asp?DDFDocuments/v/G/SPS/NBDI38A1.DOCX", "https://docs.wto.org/imrd/directdoc.asp?DDFDocuments/v/G/SPS/NBDI38A1.DOCX")</f>
      </c>
    </row>
    <row r="1292">
      <c r="A1292" s="6" t="s">
        <v>307</v>
      </c>
      <c r="B1292" s="7">
        <v>45478</v>
      </c>
      <c r="C1292" s="6">
        <f>HYPERLINK("https://eping.wto.org/en/Search?viewData= G/SPS/N/CAN/1396/Add.2"," G/SPS/N/CAN/1396/Add.2")</f>
      </c>
      <c r="D1292" s="8" t="s">
        <v>4343</v>
      </c>
      <c r="E1292" s="8" t="s">
        <v>4344</v>
      </c>
      <c r="F1292" s="8" t="s">
        <v>4345</v>
      </c>
      <c r="G1292" s="6" t="s">
        <v>3047</v>
      </c>
      <c r="H1292" s="6" t="s">
        <v>40</v>
      </c>
      <c r="I1292" s="6" t="s">
        <v>827</v>
      </c>
      <c r="J1292" s="6" t="s">
        <v>4346</v>
      </c>
      <c r="K1292" s="6"/>
      <c r="L1292" s="7" t="s">
        <v>40</v>
      </c>
      <c r="M1292" s="6" t="s">
        <v>76</v>
      </c>
      <c r="N1292" s="6"/>
      <c r="O1292" s="6">
        <f>HYPERLINK("https://docs.wto.org/imrd/directdoc.asp?DDFDocuments/t/G/SPS/NCAN1396A2.DOCX", "https://docs.wto.org/imrd/directdoc.asp?DDFDocuments/t/G/SPS/NCAN1396A2.DOCX")</f>
      </c>
      <c r="P1292" s="6">
        <f>HYPERLINK("https://docs.wto.org/imrd/directdoc.asp?DDFDocuments/u/G/SPS/NCAN1396A2.DOCX", "https://docs.wto.org/imrd/directdoc.asp?DDFDocuments/u/G/SPS/NCAN1396A2.DOCX")</f>
      </c>
      <c r="Q1292" s="6">
        <f>HYPERLINK("https://docs.wto.org/imrd/directdoc.asp?DDFDocuments/v/G/SPS/NCAN1396A2.DOCX", "https://docs.wto.org/imrd/directdoc.asp?DDFDocuments/v/G/SPS/NCAN1396A2.DOCX")</f>
      </c>
    </row>
    <row r="1293">
      <c r="A1293" s="6" t="s">
        <v>17</v>
      </c>
      <c r="B1293" s="7">
        <v>45478</v>
      </c>
      <c r="C1293" s="6">
        <f>HYPERLINK("https://eping.wto.org/en/Search?viewData= G/SPS/N/BDI/41/Add.1, G/SPS/N/KEN/197/Add.1, G/SPS/N/RWA/34/Add.1, G/SPS/N/TZA/255/Add.1, G/SPS/N/UGA/238/Add.1"," G/SPS/N/BDI/41/Add.1, G/SPS/N/KEN/197/Add.1, G/SPS/N/RWA/34/Add.1, G/SPS/N/TZA/255/Add.1, G/SPS/N/UGA/238/Add.1")</f>
      </c>
      <c r="D1293" s="8" t="s">
        <v>4292</v>
      </c>
      <c r="E1293" s="8" t="s">
        <v>4293</v>
      </c>
      <c r="F1293" s="8" t="s">
        <v>4294</v>
      </c>
      <c r="G1293" s="6" t="s">
        <v>4295</v>
      </c>
      <c r="H1293" s="6" t="s">
        <v>320</v>
      </c>
      <c r="I1293" s="6" t="s">
        <v>38</v>
      </c>
      <c r="J1293" s="6" t="s">
        <v>1663</v>
      </c>
      <c r="K1293" s="6"/>
      <c r="L1293" s="7" t="s">
        <v>40</v>
      </c>
      <c r="M1293" s="6" t="s">
        <v>76</v>
      </c>
      <c r="N1293" s="6"/>
      <c r="O1293" s="6">
        <f>HYPERLINK("https://docs.wto.org/imrd/directdoc.asp?DDFDocuments/t/G/SPS/NBDI41A1.DOCX", "https://docs.wto.org/imrd/directdoc.asp?DDFDocuments/t/G/SPS/NBDI41A1.DOCX")</f>
      </c>
      <c r="P1293" s="6">
        <f>HYPERLINK("https://docs.wto.org/imrd/directdoc.asp?DDFDocuments/u/G/SPS/NBDI41A1.DOCX", "https://docs.wto.org/imrd/directdoc.asp?DDFDocuments/u/G/SPS/NBDI41A1.DOCX")</f>
      </c>
      <c r="Q1293" s="6">
        <f>HYPERLINK("https://docs.wto.org/imrd/directdoc.asp?DDFDocuments/v/G/SPS/NBDI41A1.DOCX", "https://docs.wto.org/imrd/directdoc.asp?DDFDocuments/v/G/SPS/NBDI41A1.DOCX")</f>
      </c>
    </row>
    <row r="1294">
      <c r="A1294" s="6" t="s">
        <v>2024</v>
      </c>
      <c r="B1294" s="7">
        <v>45478</v>
      </c>
      <c r="C1294" s="6">
        <f>HYPERLINK("https://eping.wto.org/en/Search?viewData= G/SPS/N/BDI/40/Add.1, G/SPS/N/KEN/196/Add.1, G/SPS/N/RWA/33/Add.1, G/SPS/N/TZA/254/Add.1, G/SPS/N/UGA/237/Add.1"," G/SPS/N/BDI/40/Add.1, G/SPS/N/KEN/196/Add.1, G/SPS/N/RWA/33/Add.1, G/SPS/N/TZA/254/Add.1, G/SPS/N/UGA/237/Add.1")</f>
      </c>
      <c r="D1294" s="8" t="s">
        <v>4304</v>
      </c>
      <c r="E1294" s="8" t="s">
        <v>4305</v>
      </c>
      <c r="F1294" s="8" t="s">
        <v>4306</v>
      </c>
      <c r="G1294" s="6" t="s">
        <v>4307</v>
      </c>
      <c r="H1294" s="6" t="s">
        <v>320</v>
      </c>
      <c r="I1294" s="6" t="s">
        <v>38</v>
      </c>
      <c r="J1294" s="6" t="s">
        <v>1663</v>
      </c>
      <c r="K1294" s="6"/>
      <c r="L1294" s="7" t="s">
        <v>40</v>
      </c>
      <c r="M1294" s="6" t="s">
        <v>76</v>
      </c>
      <c r="N1294" s="6"/>
      <c r="O1294" s="6">
        <f>HYPERLINK("https://docs.wto.org/imrd/directdoc.asp?DDFDocuments/t/G/SPS/NBDI40A1.DOCX", "https://docs.wto.org/imrd/directdoc.asp?DDFDocuments/t/G/SPS/NBDI40A1.DOCX")</f>
      </c>
      <c r="P1294" s="6">
        <f>HYPERLINK("https://docs.wto.org/imrd/directdoc.asp?DDFDocuments/u/G/SPS/NBDI40A1.DOCX", "https://docs.wto.org/imrd/directdoc.asp?DDFDocuments/u/G/SPS/NBDI40A1.DOCX")</f>
      </c>
      <c r="Q1294" s="6">
        <f>HYPERLINK("https://docs.wto.org/imrd/directdoc.asp?DDFDocuments/v/G/SPS/NBDI40A1.DOCX", "https://docs.wto.org/imrd/directdoc.asp?DDFDocuments/v/G/SPS/NBDI40A1.DOCX")</f>
      </c>
    </row>
    <row r="1295">
      <c r="A1295" s="6" t="s">
        <v>880</v>
      </c>
      <c r="B1295" s="7">
        <v>45478</v>
      </c>
      <c r="C1295" s="6">
        <f>HYPERLINK("https://eping.wto.org/en/Search?viewData= G/SPS/N/BDI/40/Add.1, G/SPS/N/KEN/196/Add.1, G/SPS/N/RWA/33/Add.1, G/SPS/N/TZA/254/Add.1, G/SPS/N/UGA/237/Add.1"," G/SPS/N/BDI/40/Add.1, G/SPS/N/KEN/196/Add.1, G/SPS/N/RWA/33/Add.1, G/SPS/N/TZA/254/Add.1, G/SPS/N/UGA/237/Add.1")</f>
      </c>
      <c r="D1295" s="8" t="s">
        <v>4304</v>
      </c>
      <c r="E1295" s="8" t="s">
        <v>4305</v>
      </c>
      <c r="F1295" s="8" t="s">
        <v>4306</v>
      </c>
      <c r="G1295" s="6" t="s">
        <v>4307</v>
      </c>
      <c r="H1295" s="6" t="s">
        <v>320</v>
      </c>
      <c r="I1295" s="6" t="s">
        <v>38</v>
      </c>
      <c r="J1295" s="6" t="s">
        <v>1663</v>
      </c>
      <c r="K1295" s="6"/>
      <c r="L1295" s="7" t="s">
        <v>40</v>
      </c>
      <c r="M1295" s="6" t="s">
        <v>76</v>
      </c>
      <c r="N1295" s="6"/>
      <c r="O1295" s="6">
        <f>HYPERLINK("https://docs.wto.org/imrd/directdoc.asp?DDFDocuments/t/G/SPS/NBDI40A1.DOCX", "https://docs.wto.org/imrd/directdoc.asp?DDFDocuments/t/G/SPS/NBDI40A1.DOCX")</f>
      </c>
      <c r="P1295" s="6">
        <f>HYPERLINK("https://docs.wto.org/imrd/directdoc.asp?DDFDocuments/u/G/SPS/NBDI40A1.DOCX", "https://docs.wto.org/imrd/directdoc.asp?DDFDocuments/u/G/SPS/NBDI40A1.DOCX")</f>
      </c>
      <c r="Q1295" s="6">
        <f>HYPERLINK("https://docs.wto.org/imrd/directdoc.asp?DDFDocuments/v/G/SPS/NBDI40A1.DOCX", "https://docs.wto.org/imrd/directdoc.asp?DDFDocuments/v/G/SPS/NBDI40A1.DOCX")</f>
      </c>
    </row>
    <row r="1296">
      <c r="A1296" s="6" t="s">
        <v>2024</v>
      </c>
      <c r="B1296" s="7">
        <v>45478</v>
      </c>
      <c r="C1296" s="6">
        <f>HYPERLINK("https://eping.wto.org/en/Search?viewData= G/SPS/N/BDI/44/Add.1, G/SPS/N/KEN/200/Add.1, G/SPS/N/RWA/37/Add.1, G/SPS/N/TZA/258/Add.1, G/SPS/N/UGA/241/Add.1"," G/SPS/N/BDI/44/Add.1, G/SPS/N/KEN/200/Add.1, G/SPS/N/RWA/37/Add.1, G/SPS/N/TZA/258/Add.1, G/SPS/N/UGA/241/Add.1")</f>
      </c>
      <c r="D1296" s="8" t="s">
        <v>4310</v>
      </c>
      <c r="E1296" s="8" t="s">
        <v>4311</v>
      </c>
      <c r="F1296" s="8" t="s">
        <v>4298</v>
      </c>
      <c r="G1296" s="6" t="s">
        <v>4299</v>
      </c>
      <c r="H1296" s="6" t="s">
        <v>3048</v>
      </c>
      <c r="I1296" s="6" t="s">
        <v>791</v>
      </c>
      <c r="J1296" s="6" t="s">
        <v>4347</v>
      </c>
      <c r="K1296" s="6"/>
      <c r="L1296" s="7" t="s">
        <v>40</v>
      </c>
      <c r="M1296" s="6" t="s">
        <v>76</v>
      </c>
      <c r="N1296" s="6"/>
      <c r="O1296" s="6">
        <f>HYPERLINK("https://docs.wto.org/imrd/directdoc.asp?DDFDocuments/t/G/SPS/NBDI44A1.DOCX", "https://docs.wto.org/imrd/directdoc.asp?DDFDocuments/t/G/SPS/NBDI44A1.DOCX")</f>
      </c>
      <c r="P1296" s="6">
        <f>HYPERLINK("https://docs.wto.org/imrd/directdoc.asp?DDFDocuments/u/G/SPS/NBDI44A1.DOCX", "https://docs.wto.org/imrd/directdoc.asp?DDFDocuments/u/G/SPS/NBDI44A1.DOCX")</f>
      </c>
      <c r="Q1296" s="6">
        <f>HYPERLINK("https://docs.wto.org/imrd/directdoc.asp?DDFDocuments/v/G/SPS/NBDI44A1.DOCX", "https://docs.wto.org/imrd/directdoc.asp?DDFDocuments/v/G/SPS/NBDI44A1.DOCX")</f>
      </c>
    </row>
    <row r="1297">
      <c r="A1297" s="6" t="s">
        <v>1076</v>
      </c>
      <c r="B1297" s="7">
        <v>45477</v>
      </c>
      <c r="C1297" s="6">
        <f>HYPERLINK("https://eping.wto.org/en/Search?viewData= G/TBT/N/CHN/1876"," G/TBT/N/CHN/1876")</f>
      </c>
      <c r="D1297" s="8" t="s">
        <v>4348</v>
      </c>
      <c r="E1297" s="8" t="s">
        <v>4349</v>
      </c>
      <c r="F1297" s="8" t="s">
        <v>4350</v>
      </c>
      <c r="G1297" s="6" t="s">
        <v>1842</v>
      </c>
      <c r="H1297" s="6" t="s">
        <v>4351</v>
      </c>
      <c r="I1297" s="6" t="s">
        <v>147</v>
      </c>
      <c r="J1297" s="6" t="s">
        <v>40</v>
      </c>
      <c r="K1297" s="6"/>
      <c r="L1297" s="7" t="s">
        <v>40</v>
      </c>
      <c r="M1297" s="6" t="s">
        <v>25</v>
      </c>
      <c r="N1297" s="8" t="s">
        <v>4352</v>
      </c>
      <c r="O1297" s="6">
        <f>HYPERLINK("https://docs.wto.org/imrd/directdoc.asp?DDFDocuments/t/G/TBTN24/CHN1876.DOCX", "https://docs.wto.org/imrd/directdoc.asp?DDFDocuments/t/G/TBTN24/CHN1876.DOCX")</f>
      </c>
      <c r="P1297" s="6">
        <f>HYPERLINK("https://docs.wto.org/imrd/directdoc.asp?DDFDocuments/u/G/TBTN24/CHN1876.DOCX", "https://docs.wto.org/imrd/directdoc.asp?DDFDocuments/u/G/TBTN24/CHN1876.DOCX")</f>
      </c>
      <c r="Q1297" s="6">
        <f>HYPERLINK("https://docs.wto.org/imrd/directdoc.asp?DDFDocuments/v/G/TBTN24/CHN1876.DOCX", "https://docs.wto.org/imrd/directdoc.asp?DDFDocuments/v/G/TBTN24/CHN1876.DOCX")</f>
      </c>
    </row>
    <row r="1298">
      <c r="A1298" s="6" t="s">
        <v>4073</v>
      </c>
      <c r="B1298" s="7">
        <v>45477</v>
      </c>
      <c r="C1298" s="6">
        <f>HYPERLINK("https://eping.wto.org/en/Search?viewData= G/TBT/N/SWE/150"," G/TBT/N/SWE/150")</f>
      </c>
      <c r="D1298" s="8" t="s">
        <v>4353</v>
      </c>
      <c r="E1298" s="8" t="s">
        <v>4354</v>
      </c>
      <c r="F1298" s="8" t="s">
        <v>4355</v>
      </c>
      <c r="G1298" s="6" t="s">
        <v>40</v>
      </c>
      <c r="H1298" s="6" t="s">
        <v>4356</v>
      </c>
      <c r="I1298" s="6" t="s">
        <v>4357</v>
      </c>
      <c r="J1298" s="6" t="s">
        <v>40</v>
      </c>
      <c r="K1298" s="6"/>
      <c r="L1298" s="7">
        <v>45568</v>
      </c>
      <c r="M1298" s="6" t="s">
        <v>25</v>
      </c>
      <c r="N1298" s="8" t="s">
        <v>4358</v>
      </c>
      <c r="O1298" s="6">
        <f>HYPERLINK("https://docs.wto.org/imrd/directdoc.asp?DDFDocuments/t/G/TBTN24/SWE150.DOCX", "https://docs.wto.org/imrd/directdoc.asp?DDFDocuments/t/G/TBTN24/SWE150.DOCX")</f>
      </c>
      <c r="P1298" s="6">
        <f>HYPERLINK("https://docs.wto.org/imrd/directdoc.asp?DDFDocuments/u/G/TBTN24/SWE150.DOCX", "https://docs.wto.org/imrd/directdoc.asp?DDFDocuments/u/G/TBTN24/SWE150.DOCX")</f>
      </c>
      <c r="Q1298" s="6">
        <f>HYPERLINK("https://docs.wto.org/imrd/directdoc.asp?DDFDocuments/v/G/TBTN24/SWE150.DOCX", "https://docs.wto.org/imrd/directdoc.asp?DDFDocuments/v/G/TBTN24/SWE150.DOCX")</f>
      </c>
    </row>
    <row r="1299">
      <c r="A1299" s="6" t="s">
        <v>419</v>
      </c>
      <c r="B1299" s="7">
        <v>45477</v>
      </c>
      <c r="C1299" s="6">
        <f>HYPERLINK("https://eping.wto.org/en/Search?viewData= G/TBT/N/JPN/819"," G/TBT/N/JPN/819")</f>
      </c>
      <c r="D1299" s="8" t="s">
        <v>4359</v>
      </c>
      <c r="E1299" s="8" t="s">
        <v>4360</v>
      </c>
      <c r="F1299" s="8" t="s">
        <v>4361</v>
      </c>
      <c r="G1299" s="6" t="s">
        <v>4362</v>
      </c>
      <c r="H1299" s="6" t="s">
        <v>4363</v>
      </c>
      <c r="I1299" s="6" t="s">
        <v>142</v>
      </c>
      <c r="J1299" s="6" t="s">
        <v>40</v>
      </c>
      <c r="K1299" s="6"/>
      <c r="L1299" s="7">
        <v>45537</v>
      </c>
      <c r="M1299" s="6" t="s">
        <v>25</v>
      </c>
      <c r="N1299" s="8" t="s">
        <v>4364</v>
      </c>
      <c r="O1299" s="6">
        <f>HYPERLINK("https://docs.wto.org/imrd/directdoc.asp?DDFDocuments/t/G/TBTN24/JPN819.DOCX", "https://docs.wto.org/imrd/directdoc.asp?DDFDocuments/t/G/TBTN24/JPN819.DOCX")</f>
      </c>
      <c r="P1299" s="6">
        <f>HYPERLINK("https://docs.wto.org/imrd/directdoc.asp?DDFDocuments/u/G/TBTN24/JPN819.DOCX", "https://docs.wto.org/imrd/directdoc.asp?DDFDocuments/u/G/TBTN24/JPN819.DOCX")</f>
      </c>
      <c r="Q1299" s="6">
        <f>HYPERLINK("https://docs.wto.org/imrd/directdoc.asp?DDFDocuments/v/G/TBTN24/JPN819.DOCX", "https://docs.wto.org/imrd/directdoc.asp?DDFDocuments/v/G/TBTN24/JPN819.DOCX")</f>
      </c>
    </row>
    <row r="1300">
      <c r="A1300" s="6" t="s">
        <v>4073</v>
      </c>
      <c r="B1300" s="7">
        <v>45477</v>
      </c>
      <c r="C1300" s="6">
        <f>HYPERLINK("https://eping.wto.org/en/Search?viewData= G/TBT/N/SWE/155"," G/TBT/N/SWE/155")</f>
      </c>
      <c r="D1300" s="8" t="s">
        <v>4365</v>
      </c>
      <c r="E1300" s="8" t="s">
        <v>4366</v>
      </c>
      <c r="F1300" s="8" t="s">
        <v>4367</v>
      </c>
      <c r="G1300" s="6" t="s">
        <v>40</v>
      </c>
      <c r="H1300" s="6" t="s">
        <v>3939</v>
      </c>
      <c r="I1300" s="6" t="s">
        <v>2834</v>
      </c>
      <c r="J1300" s="6" t="s">
        <v>40</v>
      </c>
      <c r="K1300" s="6"/>
      <c r="L1300" s="7">
        <v>45567</v>
      </c>
      <c r="M1300" s="6" t="s">
        <v>25</v>
      </c>
      <c r="N1300" s="8" t="s">
        <v>4368</v>
      </c>
      <c r="O1300" s="6">
        <f>HYPERLINK("https://docs.wto.org/imrd/directdoc.asp?DDFDocuments/t/G/TBTN24/SWE155.DOCX", "https://docs.wto.org/imrd/directdoc.asp?DDFDocuments/t/G/TBTN24/SWE155.DOCX")</f>
      </c>
      <c r="P1300" s="6">
        <f>HYPERLINK("https://docs.wto.org/imrd/directdoc.asp?DDFDocuments/u/G/TBTN24/SWE155.DOCX", "https://docs.wto.org/imrd/directdoc.asp?DDFDocuments/u/G/TBTN24/SWE155.DOCX")</f>
      </c>
      <c r="Q1300" s="6">
        <f>HYPERLINK("https://docs.wto.org/imrd/directdoc.asp?DDFDocuments/v/G/TBTN24/SWE155.DOCX", "https://docs.wto.org/imrd/directdoc.asp?DDFDocuments/v/G/TBTN24/SWE155.DOCX")</f>
      </c>
    </row>
    <row r="1301">
      <c r="A1301" s="6" t="s">
        <v>89</v>
      </c>
      <c r="B1301" s="7">
        <v>45477</v>
      </c>
      <c r="C1301" s="6">
        <f>HYPERLINK("https://eping.wto.org/en/Search?viewData= G/SPS/N/ECU/350"," G/SPS/N/ECU/350")</f>
      </c>
      <c r="D1301" s="8" t="s">
        <v>4369</v>
      </c>
      <c r="E1301" s="8" t="s">
        <v>4370</v>
      </c>
      <c r="F1301" s="8" t="s">
        <v>4371</v>
      </c>
      <c r="G1301" s="6" t="s">
        <v>4372</v>
      </c>
      <c r="H1301" s="6" t="s">
        <v>40</v>
      </c>
      <c r="I1301" s="6" t="s">
        <v>369</v>
      </c>
      <c r="J1301" s="6" t="s">
        <v>370</v>
      </c>
      <c r="K1301" s="6" t="s">
        <v>1650</v>
      </c>
      <c r="L1301" s="7">
        <v>45537</v>
      </c>
      <c r="M1301" s="6" t="s">
        <v>25</v>
      </c>
      <c r="N1301" s="8" t="s">
        <v>4373</v>
      </c>
      <c r="O1301" s="6">
        <f>HYPERLINK("https://docs.wto.org/imrd/directdoc.asp?DDFDocuments/t/G/SPS/NECU350.DOCX", "https://docs.wto.org/imrd/directdoc.asp?DDFDocuments/t/G/SPS/NECU350.DOCX")</f>
      </c>
      <c r="P1301" s="6">
        <f>HYPERLINK("https://docs.wto.org/imrd/directdoc.asp?DDFDocuments/u/G/SPS/NECU350.DOCX", "https://docs.wto.org/imrd/directdoc.asp?DDFDocuments/u/G/SPS/NECU350.DOCX")</f>
      </c>
      <c r="Q1301" s="6">
        <f>HYPERLINK("https://docs.wto.org/imrd/directdoc.asp?DDFDocuments/v/G/SPS/NECU350.DOCX", "https://docs.wto.org/imrd/directdoc.asp?DDFDocuments/v/G/SPS/NECU350.DOCX")</f>
      </c>
    </row>
    <row r="1302">
      <c r="A1302" s="6" t="s">
        <v>89</v>
      </c>
      <c r="B1302" s="7">
        <v>45477</v>
      </c>
      <c r="C1302" s="6">
        <f>HYPERLINK("https://eping.wto.org/en/Search?viewData= G/SPS/N/ECU/347"," G/SPS/N/ECU/347")</f>
      </c>
      <c r="D1302" s="8" t="s">
        <v>4374</v>
      </c>
      <c r="E1302" s="8" t="s">
        <v>4375</v>
      </c>
      <c r="F1302" s="8" t="s">
        <v>4376</v>
      </c>
      <c r="G1302" s="6" t="s">
        <v>3293</v>
      </c>
      <c r="H1302" s="6" t="s">
        <v>40</v>
      </c>
      <c r="I1302" s="6" t="s">
        <v>369</v>
      </c>
      <c r="J1302" s="6" t="s">
        <v>370</v>
      </c>
      <c r="K1302" s="6" t="s">
        <v>180</v>
      </c>
      <c r="L1302" s="7">
        <v>45537</v>
      </c>
      <c r="M1302" s="6" t="s">
        <v>25</v>
      </c>
      <c r="N1302" s="8" t="s">
        <v>4377</v>
      </c>
      <c r="O1302" s="6">
        <f>HYPERLINK("https://docs.wto.org/imrd/directdoc.asp?DDFDocuments/t/G/SPS/NECU347.DOCX", "https://docs.wto.org/imrd/directdoc.asp?DDFDocuments/t/G/SPS/NECU347.DOCX")</f>
      </c>
      <c r="P1302" s="6">
        <f>HYPERLINK("https://docs.wto.org/imrd/directdoc.asp?DDFDocuments/u/G/SPS/NECU347.DOCX", "https://docs.wto.org/imrd/directdoc.asp?DDFDocuments/u/G/SPS/NECU347.DOCX")</f>
      </c>
      <c r="Q1302" s="6">
        <f>HYPERLINK("https://docs.wto.org/imrd/directdoc.asp?DDFDocuments/v/G/SPS/NECU347.DOCX", "https://docs.wto.org/imrd/directdoc.asp?DDFDocuments/v/G/SPS/NECU347.DOCX")</f>
      </c>
    </row>
    <row r="1303">
      <c r="A1303" s="6" t="s">
        <v>322</v>
      </c>
      <c r="B1303" s="7">
        <v>45477</v>
      </c>
      <c r="C1303" s="6">
        <f>HYPERLINK("https://eping.wto.org/en/Search?viewData= G/TBT/N/TPKM/531/Add.1"," G/TBT/N/TPKM/531/Add.1")</f>
      </c>
      <c r="D1303" s="8" t="s">
        <v>4378</v>
      </c>
      <c r="E1303" s="8" t="s">
        <v>4379</v>
      </c>
      <c r="F1303" s="8" t="s">
        <v>4380</v>
      </c>
      <c r="G1303" s="6" t="s">
        <v>891</v>
      </c>
      <c r="H1303" s="6" t="s">
        <v>4381</v>
      </c>
      <c r="I1303" s="6" t="s">
        <v>75</v>
      </c>
      <c r="J1303" s="6" t="s">
        <v>40</v>
      </c>
      <c r="K1303" s="6"/>
      <c r="L1303" s="7" t="s">
        <v>40</v>
      </c>
      <c r="M1303" s="6" t="s">
        <v>76</v>
      </c>
      <c r="N1303" s="8" t="s">
        <v>4382</v>
      </c>
      <c r="O1303" s="6">
        <f>HYPERLINK("https://docs.wto.org/imrd/directdoc.asp?DDFDocuments/t/G/TBTN23/TPKM531A1.DOCX", "https://docs.wto.org/imrd/directdoc.asp?DDFDocuments/t/G/TBTN23/TPKM531A1.DOCX")</f>
      </c>
      <c r="P1303" s="6">
        <f>HYPERLINK("https://docs.wto.org/imrd/directdoc.asp?DDFDocuments/u/G/TBTN23/TPKM531A1.DOCX", "https://docs.wto.org/imrd/directdoc.asp?DDFDocuments/u/G/TBTN23/TPKM531A1.DOCX")</f>
      </c>
      <c r="Q1303" s="6">
        <f>HYPERLINK("https://docs.wto.org/imrd/directdoc.asp?DDFDocuments/v/G/TBTN23/TPKM531A1.DOCX", "https://docs.wto.org/imrd/directdoc.asp?DDFDocuments/v/G/TBTN23/TPKM531A1.DOCX")</f>
      </c>
    </row>
    <row r="1304">
      <c r="A1304" s="6" t="s">
        <v>1076</v>
      </c>
      <c r="B1304" s="7">
        <v>45477</v>
      </c>
      <c r="C1304" s="6">
        <f>HYPERLINK("https://eping.wto.org/en/Search?viewData= G/TBT/N/CHN/1875"," G/TBT/N/CHN/1875")</f>
      </c>
      <c r="D1304" s="8" t="s">
        <v>4383</v>
      </c>
      <c r="E1304" s="8" t="s">
        <v>4384</v>
      </c>
      <c r="F1304" s="8" t="s">
        <v>4385</v>
      </c>
      <c r="G1304" s="6" t="s">
        <v>1842</v>
      </c>
      <c r="H1304" s="6" t="s">
        <v>4351</v>
      </c>
      <c r="I1304" s="6" t="s">
        <v>147</v>
      </c>
      <c r="J1304" s="6" t="s">
        <v>40</v>
      </c>
      <c r="K1304" s="6"/>
      <c r="L1304" s="7" t="s">
        <v>40</v>
      </c>
      <c r="M1304" s="6" t="s">
        <v>25</v>
      </c>
      <c r="N1304" s="8" t="s">
        <v>4386</v>
      </c>
      <c r="O1304" s="6">
        <f>HYPERLINK("https://docs.wto.org/imrd/directdoc.asp?DDFDocuments/t/G/TBTN24/CHN1875.DOCX", "https://docs.wto.org/imrd/directdoc.asp?DDFDocuments/t/G/TBTN24/CHN1875.DOCX")</f>
      </c>
      <c r="P1304" s="6">
        <f>HYPERLINK("https://docs.wto.org/imrd/directdoc.asp?DDFDocuments/u/G/TBTN24/CHN1875.DOCX", "https://docs.wto.org/imrd/directdoc.asp?DDFDocuments/u/G/TBTN24/CHN1875.DOCX")</f>
      </c>
      <c r="Q1304" s="6">
        <f>HYPERLINK("https://docs.wto.org/imrd/directdoc.asp?DDFDocuments/v/G/TBTN24/CHN1875.DOCX", "https://docs.wto.org/imrd/directdoc.asp?DDFDocuments/v/G/TBTN24/CHN1875.DOCX")</f>
      </c>
    </row>
    <row r="1305">
      <c r="A1305" s="6" t="s">
        <v>198</v>
      </c>
      <c r="B1305" s="7">
        <v>45477</v>
      </c>
      <c r="C1305" s="6">
        <f>HYPERLINK("https://eping.wto.org/en/Search?viewData= G/TBT/N/CHL/689"," G/TBT/N/CHL/689")</f>
      </c>
      <c r="D1305" s="8" t="s">
        <v>4387</v>
      </c>
      <c r="E1305" s="8" t="s">
        <v>4388</v>
      </c>
      <c r="F1305" s="8" t="s">
        <v>4389</v>
      </c>
      <c r="G1305" s="6" t="s">
        <v>40</v>
      </c>
      <c r="H1305" s="6" t="s">
        <v>4390</v>
      </c>
      <c r="I1305" s="6" t="s">
        <v>147</v>
      </c>
      <c r="J1305" s="6" t="s">
        <v>40</v>
      </c>
      <c r="K1305" s="6"/>
      <c r="L1305" s="7">
        <v>45537</v>
      </c>
      <c r="M1305" s="6" t="s">
        <v>25</v>
      </c>
      <c r="N1305" s="8" t="s">
        <v>4391</v>
      </c>
      <c r="O1305" s="6">
        <f>HYPERLINK("https://docs.wto.org/imrd/directdoc.asp?DDFDocuments/t/G/TBTN24/CHL689.DOCX", "https://docs.wto.org/imrd/directdoc.asp?DDFDocuments/t/G/TBTN24/CHL689.DOCX")</f>
      </c>
      <c r="P1305" s="6">
        <f>HYPERLINK("https://docs.wto.org/imrd/directdoc.asp?DDFDocuments/u/G/TBTN24/CHL689.DOCX", "https://docs.wto.org/imrd/directdoc.asp?DDFDocuments/u/G/TBTN24/CHL689.DOCX")</f>
      </c>
      <c r="Q1305" s="6">
        <f>HYPERLINK("https://docs.wto.org/imrd/directdoc.asp?DDFDocuments/v/G/TBTN24/CHL689.DOCX", "https://docs.wto.org/imrd/directdoc.asp?DDFDocuments/v/G/TBTN24/CHL689.DOCX")</f>
      </c>
    </row>
    <row r="1306">
      <c r="A1306" s="6" t="s">
        <v>392</v>
      </c>
      <c r="B1306" s="7">
        <v>45477</v>
      </c>
      <c r="C1306" s="6">
        <f>HYPERLINK("https://eping.wto.org/en/Search?viewData= G/SPS/N/SAU/534"," G/SPS/N/SAU/534")</f>
      </c>
      <c r="D1306" s="8" t="s">
        <v>4392</v>
      </c>
      <c r="E1306" s="8" t="s">
        <v>4393</v>
      </c>
      <c r="F1306" s="8" t="s">
        <v>4394</v>
      </c>
      <c r="G1306" s="6" t="s">
        <v>4395</v>
      </c>
      <c r="H1306" s="6" t="s">
        <v>40</v>
      </c>
      <c r="I1306" s="6" t="s">
        <v>791</v>
      </c>
      <c r="J1306" s="6" t="s">
        <v>828</v>
      </c>
      <c r="K1306" s="6" t="s">
        <v>3665</v>
      </c>
      <c r="L1306" s="7" t="s">
        <v>40</v>
      </c>
      <c r="M1306" s="6" t="s">
        <v>356</v>
      </c>
      <c r="N1306" s="8" t="s">
        <v>4396</v>
      </c>
      <c r="O1306" s="6">
        <f>HYPERLINK("https://docs.wto.org/imrd/directdoc.asp?DDFDocuments/t/G/SPS/NSAU534.DOCX", "https://docs.wto.org/imrd/directdoc.asp?DDFDocuments/t/G/SPS/NSAU534.DOCX")</f>
      </c>
      <c r="P1306" s="6">
        <f>HYPERLINK("https://docs.wto.org/imrd/directdoc.asp?DDFDocuments/u/G/SPS/NSAU534.DOCX", "https://docs.wto.org/imrd/directdoc.asp?DDFDocuments/u/G/SPS/NSAU534.DOCX")</f>
      </c>
      <c r="Q1306" s="6">
        <f>HYPERLINK("https://docs.wto.org/imrd/directdoc.asp?DDFDocuments/v/G/SPS/NSAU534.DOCX", "https://docs.wto.org/imrd/directdoc.asp?DDFDocuments/v/G/SPS/NSAU534.DOCX")</f>
      </c>
    </row>
    <row r="1307">
      <c r="A1307" s="6" t="s">
        <v>401</v>
      </c>
      <c r="B1307" s="7">
        <v>45477</v>
      </c>
      <c r="C1307" s="6">
        <f>HYPERLINK("https://eping.wto.org/en/Search?viewData= G/SPS/N/KOR/804"," G/SPS/N/KOR/804")</f>
      </c>
      <c r="D1307" s="8" t="s">
        <v>1078</v>
      </c>
      <c r="E1307" s="8" t="s">
        <v>4397</v>
      </c>
      <c r="F1307" s="8" t="s">
        <v>518</v>
      </c>
      <c r="G1307" s="6" t="s">
        <v>40</v>
      </c>
      <c r="H1307" s="6" t="s">
        <v>40</v>
      </c>
      <c r="I1307" s="6" t="s">
        <v>38</v>
      </c>
      <c r="J1307" s="6" t="s">
        <v>60</v>
      </c>
      <c r="K1307" s="6" t="s">
        <v>40</v>
      </c>
      <c r="L1307" s="7">
        <v>45537</v>
      </c>
      <c r="M1307" s="6" t="s">
        <v>25</v>
      </c>
      <c r="N1307" s="8" t="s">
        <v>4398</v>
      </c>
      <c r="O1307" s="6">
        <f>HYPERLINK("https://docs.wto.org/imrd/directdoc.asp?DDFDocuments/t/G/SPS/NKOR804.DOCX", "https://docs.wto.org/imrd/directdoc.asp?DDFDocuments/t/G/SPS/NKOR804.DOCX")</f>
      </c>
      <c r="P1307" s="6">
        <f>HYPERLINK("https://docs.wto.org/imrd/directdoc.asp?DDFDocuments/u/G/SPS/NKOR804.DOCX", "https://docs.wto.org/imrd/directdoc.asp?DDFDocuments/u/G/SPS/NKOR804.DOCX")</f>
      </c>
      <c r="Q1307" s="6">
        <f>HYPERLINK("https://docs.wto.org/imrd/directdoc.asp?DDFDocuments/v/G/SPS/NKOR804.DOCX", "https://docs.wto.org/imrd/directdoc.asp?DDFDocuments/v/G/SPS/NKOR804.DOCX")</f>
      </c>
    </row>
    <row r="1308">
      <c r="A1308" s="6" t="s">
        <v>89</v>
      </c>
      <c r="B1308" s="7">
        <v>45477</v>
      </c>
      <c r="C1308" s="6">
        <f>HYPERLINK("https://eping.wto.org/en/Search?viewData= G/SPS/N/ECU/346"," G/SPS/N/ECU/346")</f>
      </c>
      <c r="D1308" s="8" t="s">
        <v>4399</v>
      </c>
      <c r="E1308" s="8" t="s">
        <v>4400</v>
      </c>
      <c r="F1308" s="8" t="s">
        <v>4401</v>
      </c>
      <c r="G1308" s="6" t="s">
        <v>4402</v>
      </c>
      <c r="H1308" s="6" t="s">
        <v>40</v>
      </c>
      <c r="I1308" s="6" t="s">
        <v>369</v>
      </c>
      <c r="J1308" s="6" t="s">
        <v>370</v>
      </c>
      <c r="K1308" s="6" t="s">
        <v>124</v>
      </c>
      <c r="L1308" s="7">
        <v>45537</v>
      </c>
      <c r="M1308" s="6" t="s">
        <v>25</v>
      </c>
      <c r="N1308" s="8" t="s">
        <v>4403</v>
      </c>
      <c r="O1308" s="6">
        <f>HYPERLINK("https://docs.wto.org/imrd/directdoc.asp?DDFDocuments/t/G/SPS/NECU346.DOCX", "https://docs.wto.org/imrd/directdoc.asp?DDFDocuments/t/G/SPS/NECU346.DOCX")</f>
      </c>
      <c r="P1308" s="6">
        <f>HYPERLINK("https://docs.wto.org/imrd/directdoc.asp?DDFDocuments/u/G/SPS/NECU346.DOCX", "https://docs.wto.org/imrd/directdoc.asp?DDFDocuments/u/G/SPS/NECU346.DOCX")</f>
      </c>
      <c r="Q1308" s="6">
        <f>HYPERLINK("https://docs.wto.org/imrd/directdoc.asp?DDFDocuments/v/G/SPS/NECU346.DOCX", "https://docs.wto.org/imrd/directdoc.asp?DDFDocuments/v/G/SPS/NECU346.DOCX")</f>
      </c>
    </row>
    <row r="1309">
      <c r="A1309" s="6" t="s">
        <v>1285</v>
      </c>
      <c r="B1309" s="7">
        <v>45477</v>
      </c>
      <c r="C1309" s="6">
        <f>HYPERLINK("https://eping.wto.org/en/Search?viewData= G/TBT/N/MYS/121/Add.1"," G/TBT/N/MYS/121/Add.1")</f>
      </c>
      <c r="D1309" s="8" t="s">
        <v>4404</v>
      </c>
      <c r="E1309" s="8" t="s">
        <v>4405</v>
      </c>
      <c r="F1309" s="8" t="s">
        <v>4406</v>
      </c>
      <c r="G1309" s="6" t="s">
        <v>4407</v>
      </c>
      <c r="H1309" s="6" t="s">
        <v>4408</v>
      </c>
      <c r="I1309" s="6" t="s">
        <v>337</v>
      </c>
      <c r="J1309" s="6" t="s">
        <v>40</v>
      </c>
      <c r="K1309" s="6"/>
      <c r="L1309" s="7" t="s">
        <v>40</v>
      </c>
      <c r="M1309" s="6" t="s">
        <v>76</v>
      </c>
      <c r="N1309" s="8" t="s">
        <v>4409</v>
      </c>
      <c r="O1309" s="6">
        <f>HYPERLINK("https://docs.wto.org/imrd/directdoc.asp?DDFDocuments/t/G/TBTN24/MYS121A1.DOCX", "https://docs.wto.org/imrd/directdoc.asp?DDFDocuments/t/G/TBTN24/MYS121A1.DOCX")</f>
      </c>
      <c r="P1309" s="6">
        <f>HYPERLINK("https://docs.wto.org/imrd/directdoc.asp?DDFDocuments/u/G/TBTN24/MYS121A1.DOCX", "https://docs.wto.org/imrd/directdoc.asp?DDFDocuments/u/G/TBTN24/MYS121A1.DOCX")</f>
      </c>
      <c r="Q1309" s="6">
        <f>HYPERLINK("https://docs.wto.org/imrd/directdoc.asp?DDFDocuments/v/G/TBTN24/MYS121A1.DOCX", "https://docs.wto.org/imrd/directdoc.asp?DDFDocuments/v/G/TBTN24/MYS121A1.DOCX")</f>
      </c>
    </row>
    <row r="1310">
      <c r="A1310" s="6" t="s">
        <v>198</v>
      </c>
      <c r="B1310" s="7">
        <v>45477</v>
      </c>
      <c r="C1310" s="6">
        <f>HYPERLINK("https://eping.wto.org/en/Search?viewData= G/TBT/N/CHL/690"," G/TBT/N/CHL/690")</f>
      </c>
      <c r="D1310" s="8" t="s">
        <v>4410</v>
      </c>
      <c r="E1310" s="8" t="s">
        <v>4411</v>
      </c>
      <c r="F1310" s="8" t="s">
        <v>4412</v>
      </c>
      <c r="G1310" s="6" t="s">
        <v>40</v>
      </c>
      <c r="H1310" s="6" t="s">
        <v>4390</v>
      </c>
      <c r="I1310" s="6" t="s">
        <v>147</v>
      </c>
      <c r="J1310" s="6" t="s">
        <v>40</v>
      </c>
      <c r="K1310" s="6"/>
      <c r="L1310" s="7">
        <v>45537</v>
      </c>
      <c r="M1310" s="6" t="s">
        <v>25</v>
      </c>
      <c r="N1310" s="8" t="s">
        <v>4413</v>
      </c>
      <c r="O1310" s="6">
        <f>HYPERLINK("https://docs.wto.org/imrd/directdoc.asp?DDFDocuments/t/G/TBTN24/CHL690.DOCX", "https://docs.wto.org/imrd/directdoc.asp?DDFDocuments/t/G/TBTN24/CHL690.DOCX")</f>
      </c>
      <c r="P1310" s="6">
        <f>HYPERLINK("https://docs.wto.org/imrd/directdoc.asp?DDFDocuments/u/G/TBTN24/CHL690.DOCX", "https://docs.wto.org/imrd/directdoc.asp?DDFDocuments/u/G/TBTN24/CHL690.DOCX")</f>
      </c>
      <c r="Q1310" s="6">
        <f>HYPERLINK("https://docs.wto.org/imrd/directdoc.asp?DDFDocuments/v/G/TBTN24/CHL690.DOCX", "https://docs.wto.org/imrd/directdoc.asp?DDFDocuments/v/G/TBTN24/CHL690.DOCX")</f>
      </c>
    </row>
    <row r="1311">
      <c r="A1311" s="6" t="s">
        <v>2030</v>
      </c>
      <c r="B1311" s="7">
        <v>45477</v>
      </c>
      <c r="C1311" s="6">
        <f>HYPERLINK("https://eping.wto.org/en/Search?viewData= G/TBT/N/UGA/1965"," G/TBT/N/UGA/1965")</f>
      </c>
      <c r="D1311" s="8" t="s">
        <v>4414</v>
      </c>
      <c r="E1311" s="8" t="s">
        <v>4415</v>
      </c>
      <c r="F1311" s="8" t="s">
        <v>4203</v>
      </c>
      <c r="G1311" s="6" t="s">
        <v>4204</v>
      </c>
      <c r="H1311" s="6" t="s">
        <v>4416</v>
      </c>
      <c r="I1311" s="6" t="s">
        <v>134</v>
      </c>
      <c r="J1311" s="6" t="s">
        <v>40</v>
      </c>
      <c r="K1311" s="6"/>
      <c r="L1311" s="7">
        <v>45537</v>
      </c>
      <c r="M1311" s="6" t="s">
        <v>25</v>
      </c>
      <c r="N1311" s="8" t="s">
        <v>3676</v>
      </c>
      <c r="O1311" s="6">
        <f>HYPERLINK("https://docs.wto.org/imrd/directdoc.asp?DDFDocuments/t/G/TBTN24/UGA1965.DOCX", "https://docs.wto.org/imrd/directdoc.asp?DDFDocuments/t/G/TBTN24/UGA1965.DOCX")</f>
      </c>
      <c r="P1311" s="6">
        <f>HYPERLINK("https://docs.wto.org/imrd/directdoc.asp?DDFDocuments/u/G/TBTN24/UGA1965.DOCX", "https://docs.wto.org/imrd/directdoc.asp?DDFDocuments/u/G/TBTN24/UGA1965.DOCX")</f>
      </c>
      <c r="Q1311" s="6">
        <f>HYPERLINK("https://docs.wto.org/imrd/directdoc.asp?DDFDocuments/v/G/TBTN24/UGA1965.DOCX", "https://docs.wto.org/imrd/directdoc.asp?DDFDocuments/v/G/TBTN24/UGA1965.DOCX")</f>
      </c>
    </row>
    <row r="1312">
      <c r="A1312" s="6" t="s">
        <v>4073</v>
      </c>
      <c r="B1312" s="7">
        <v>45477</v>
      </c>
      <c r="C1312" s="6">
        <f>HYPERLINK("https://eping.wto.org/en/Search?viewData= G/TBT/N/SWE/151"," G/TBT/N/SWE/151")</f>
      </c>
      <c r="D1312" s="8" t="s">
        <v>4417</v>
      </c>
      <c r="E1312" s="8" t="s">
        <v>4418</v>
      </c>
      <c r="F1312" s="8" t="s">
        <v>4419</v>
      </c>
      <c r="G1312" s="6" t="s">
        <v>40</v>
      </c>
      <c r="H1312" s="6" t="s">
        <v>4420</v>
      </c>
      <c r="I1312" s="6" t="s">
        <v>213</v>
      </c>
      <c r="J1312" s="6" t="s">
        <v>40</v>
      </c>
      <c r="K1312" s="6"/>
      <c r="L1312" s="7">
        <v>45567</v>
      </c>
      <c r="M1312" s="6" t="s">
        <v>25</v>
      </c>
      <c r="N1312" s="8" t="s">
        <v>4421</v>
      </c>
      <c r="O1312" s="6">
        <f>HYPERLINK("https://docs.wto.org/imrd/directdoc.asp?DDFDocuments/t/G/TBTN24/SWE151.DOCX", "https://docs.wto.org/imrd/directdoc.asp?DDFDocuments/t/G/TBTN24/SWE151.DOCX")</f>
      </c>
      <c r="P1312" s="6">
        <f>HYPERLINK("https://docs.wto.org/imrd/directdoc.asp?DDFDocuments/u/G/TBTN24/SWE151.DOCX", "https://docs.wto.org/imrd/directdoc.asp?DDFDocuments/u/G/TBTN24/SWE151.DOCX")</f>
      </c>
      <c r="Q1312" s="6">
        <f>HYPERLINK("https://docs.wto.org/imrd/directdoc.asp?DDFDocuments/v/G/TBTN24/SWE151.DOCX", "https://docs.wto.org/imrd/directdoc.asp?DDFDocuments/v/G/TBTN24/SWE151.DOCX")</f>
      </c>
    </row>
    <row r="1313">
      <c r="A1313" s="6" t="s">
        <v>2030</v>
      </c>
      <c r="B1313" s="7">
        <v>45477</v>
      </c>
      <c r="C1313" s="6">
        <f>HYPERLINK("https://eping.wto.org/en/Search?viewData= G/TBT/N/UGA/1964"," G/TBT/N/UGA/1964")</f>
      </c>
      <c r="D1313" s="8" t="s">
        <v>4422</v>
      </c>
      <c r="E1313" s="8" t="s">
        <v>4423</v>
      </c>
      <c r="F1313" s="8" t="s">
        <v>4203</v>
      </c>
      <c r="G1313" s="6" t="s">
        <v>4204</v>
      </c>
      <c r="H1313" s="6" t="s">
        <v>4416</v>
      </c>
      <c r="I1313" s="6" t="s">
        <v>134</v>
      </c>
      <c r="J1313" s="6" t="s">
        <v>40</v>
      </c>
      <c r="K1313" s="6"/>
      <c r="L1313" s="7">
        <v>45537</v>
      </c>
      <c r="M1313" s="6" t="s">
        <v>25</v>
      </c>
      <c r="N1313" s="6"/>
      <c r="O1313" s="6">
        <f>HYPERLINK("https://docs.wto.org/imrd/directdoc.asp?DDFDocuments/t/G/TBTN24/UGA1964.DOCX", "https://docs.wto.org/imrd/directdoc.asp?DDFDocuments/t/G/TBTN24/UGA1964.DOCX")</f>
      </c>
      <c r="P1313" s="6">
        <f>HYPERLINK("https://docs.wto.org/imrd/directdoc.asp?DDFDocuments/u/G/TBTN24/UGA1964.DOCX", "https://docs.wto.org/imrd/directdoc.asp?DDFDocuments/u/G/TBTN24/UGA1964.DOCX")</f>
      </c>
      <c r="Q1313" s="6">
        <f>HYPERLINK("https://docs.wto.org/imrd/directdoc.asp?DDFDocuments/v/G/TBTN24/UGA1964.DOCX", "https://docs.wto.org/imrd/directdoc.asp?DDFDocuments/v/G/TBTN24/UGA1964.DOCX")</f>
      </c>
    </row>
    <row r="1314">
      <c r="A1314" s="6" t="s">
        <v>866</v>
      </c>
      <c r="B1314" s="7">
        <v>45477</v>
      </c>
      <c r="C1314" s="6">
        <f>HYPERLINK("https://eping.wto.org/en/Search?viewData= G/SPS/N/IDN/149"," G/SPS/N/IDN/149")</f>
      </c>
      <c r="D1314" s="8" t="s">
        <v>4424</v>
      </c>
      <c r="E1314" s="8" t="s">
        <v>4425</v>
      </c>
      <c r="F1314" s="8" t="s">
        <v>4426</v>
      </c>
      <c r="G1314" s="6" t="s">
        <v>40</v>
      </c>
      <c r="H1314" s="6" t="s">
        <v>40</v>
      </c>
      <c r="I1314" s="6" t="s">
        <v>1294</v>
      </c>
      <c r="J1314" s="6" t="s">
        <v>4427</v>
      </c>
      <c r="K1314" s="6" t="s">
        <v>40</v>
      </c>
      <c r="L1314" s="7">
        <v>45537</v>
      </c>
      <c r="M1314" s="6" t="s">
        <v>25</v>
      </c>
      <c r="N1314" s="8" t="s">
        <v>4428</v>
      </c>
      <c r="O1314" s="6">
        <f>HYPERLINK("https://docs.wto.org/imrd/directdoc.asp?DDFDocuments/t/G/SPS/NIDN149.DOCX", "https://docs.wto.org/imrd/directdoc.asp?DDFDocuments/t/G/SPS/NIDN149.DOCX")</f>
      </c>
      <c r="P1314" s="6">
        <f>HYPERLINK("https://docs.wto.org/imrd/directdoc.asp?DDFDocuments/u/G/SPS/NIDN149.DOCX", "https://docs.wto.org/imrd/directdoc.asp?DDFDocuments/u/G/SPS/NIDN149.DOCX")</f>
      </c>
      <c r="Q1314" s="6">
        <f>HYPERLINK("https://docs.wto.org/imrd/directdoc.asp?DDFDocuments/v/G/SPS/NIDN149.DOCX", "https://docs.wto.org/imrd/directdoc.asp?DDFDocuments/v/G/SPS/NIDN149.DOCX")</f>
      </c>
    </row>
    <row r="1315">
      <c r="A1315" s="6" t="s">
        <v>89</v>
      </c>
      <c r="B1315" s="7">
        <v>45477</v>
      </c>
      <c r="C1315" s="6">
        <f>HYPERLINK("https://eping.wto.org/en/Search?viewData= G/SPS/N/ECU/348"," G/SPS/N/ECU/348")</f>
      </c>
      <c r="D1315" s="8" t="s">
        <v>4429</v>
      </c>
      <c r="E1315" s="8" t="s">
        <v>4430</v>
      </c>
      <c r="F1315" s="8" t="s">
        <v>4431</v>
      </c>
      <c r="G1315" s="6" t="s">
        <v>3293</v>
      </c>
      <c r="H1315" s="6" t="s">
        <v>40</v>
      </c>
      <c r="I1315" s="6" t="s">
        <v>369</v>
      </c>
      <c r="J1315" s="6" t="s">
        <v>370</v>
      </c>
      <c r="K1315" s="6" t="s">
        <v>180</v>
      </c>
      <c r="L1315" s="7">
        <v>45537</v>
      </c>
      <c r="M1315" s="6" t="s">
        <v>25</v>
      </c>
      <c r="N1315" s="8" t="s">
        <v>4432</v>
      </c>
      <c r="O1315" s="6">
        <f>HYPERLINK("https://docs.wto.org/imrd/directdoc.asp?DDFDocuments/t/G/SPS/NECU348.DOCX", "https://docs.wto.org/imrd/directdoc.asp?DDFDocuments/t/G/SPS/NECU348.DOCX")</f>
      </c>
      <c r="P1315" s="6">
        <f>HYPERLINK("https://docs.wto.org/imrd/directdoc.asp?DDFDocuments/u/G/SPS/NECU348.DOCX", "https://docs.wto.org/imrd/directdoc.asp?DDFDocuments/u/G/SPS/NECU348.DOCX")</f>
      </c>
      <c r="Q1315" s="6">
        <f>HYPERLINK("https://docs.wto.org/imrd/directdoc.asp?DDFDocuments/v/G/SPS/NECU348.DOCX", "https://docs.wto.org/imrd/directdoc.asp?DDFDocuments/v/G/SPS/NECU348.DOCX")</f>
      </c>
    </row>
    <row r="1316">
      <c r="A1316" s="6" t="s">
        <v>115</v>
      </c>
      <c r="B1316" s="7">
        <v>45477</v>
      </c>
      <c r="C1316" s="6">
        <f>HYPERLINK("https://eping.wto.org/en/Search?viewData= G/TBT/N/BRA/1297/Add.2/Corr.1"," G/TBT/N/BRA/1297/Add.2/Corr.1")</f>
      </c>
      <c r="D1316" s="8" t="s">
        <v>4433</v>
      </c>
      <c r="E1316" s="8" t="s">
        <v>4434</v>
      </c>
      <c r="F1316" s="8" t="s">
        <v>4435</v>
      </c>
      <c r="G1316" s="6" t="s">
        <v>4436</v>
      </c>
      <c r="H1316" s="6" t="s">
        <v>4437</v>
      </c>
      <c r="I1316" s="6" t="s">
        <v>147</v>
      </c>
      <c r="J1316" s="6" t="s">
        <v>4438</v>
      </c>
      <c r="K1316" s="6"/>
      <c r="L1316" s="7" t="s">
        <v>40</v>
      </c>
      <c r="M1316" s="6" t="s">
        <v>224</v>
      </c>
      <c r="N1316" s="8" t="s">
        <v>4439</v>
      </c>
      <c r="O1316" s="6">
        <f>HYPERLINK("https://docs.wto.org/imrd/directdoc.asp?DDFDocuments/t/G/TBTN22/BRA1297A2C1.DOCX", "https://docs.wto.org/imrd/directdoc.asp?DDFDocuments/t/G/TBTN22/BRA1297A2C1.DOCX")</f>
      </c>
      <c r="P1316" s="6">
        <f>HYPERLINK("https://docs.wto.org/imrd/directdoc.asp?DDFDocuments/u/G/TBTN22/BRA1297A2C1.DOCX", "https://docs.wto.org/imrd/directdoc.asp?DDFDocuments/u/G/TBTN22/BRA1297A2C1.DOCX")</f>
      </c>
      <c r="Q1316" s="6">
        <f>HYPERLINK("https://docs.wto.org/imrd/directdoc.asp?DDFDocuments/v/G/TBTN22/BRA1297A2C1.DOCX", "https://docs.wto.org/imrd/directdoc.asp?DDFDocuments/v/G/TBTN22/BRA1297A2C1.DOCX")</f>
      </c>
    </row>
    <row r="1317">
      <c r="A1317" s="6" t="s">
        <v>4073</v>
      </c>
      <c r="B1317" s="7">
        <v>45477</v>
      </c>
      <c r="C1317" s="6">
        <f>HYPERLINK("https://eping.wto.org/en/Search?viewData= G/TBT/N/SWE/153"," G/TBT/N/SWE/153")</f>
      </c>
      <c r="D1317" s="8" t="s">
        <v>4440</v>
      </c>
      <c r="E1317" s="8" t="s">
        <v>4441</v>
      </c>
      <c r="F1317" s="8" t="s">
        <v>4442</v>
      </c>
      <c r="G1317" s="6" t="s">
        <v>40</v>
      </c>
      <c r="H1317" s="6" t="s">
        <v>4443</v>
      </c>
      <c r="I1317" s="6" t="s">
        <v>245</v>
      </c>
      <c r="J1317" s="6" t="s">
        <v>40</v>
      </c>
      <c r="K1317" s="6"/>
      <c r="L1317" s="7">
        <v>45567</v>
      </c>
      <c r="M1317" s="6" t="s">
        <v>25</v>
      </c>
      <c r="N1317" s="8" t="s">
        <v>4444</v>
      </c>
      <c r="O1317" s="6">
        <f>HYPERLINK("https://docs.wto.org/imrd/directdoc.asp?DDFDocuments/t/G/TBTN24/SWE153.DOCX", "https://docs.wto.org/imrd/directdoc.asp?DDFDocuments/t/G/TBTN24/SWE153.DOCX")</f>
      </c>
      <c r="P1317" s="6">
        <f>HYPERLINK("https://docs.wto.org/imrd/directdoc.asp?DDFDocuments/u/G/TBTN24/SWE153.DOCX", "https://docs.wto.org/imrd/directdoc.asp?DDFDocuments/u/G/TBTN24/SWE153.DOCX")</f>
      </c>
      <c r="Q1317" s="6">
        <f>HYPERLINK("https://docs.wto.org/imrd/directdoc.asp?DDFDocuments/v/G/TBTN24/SWE153.DOCX", "https://docs.wto.org/imrd/directdoc.asp?DDFDocuments/v/G/TBTN24/SWE153.DOCX")</f>
      </c>
    </row>
    <row r="1318">
      <c r="A1318" s="6" t="s">
        <v>4073</v>
      </c>
      <c r="B1318" s="7">
        <v>45477</v>
      </c>
      <c r="C1318" s="6">
        <f>HYPERLINK("https://eping.wto.org/en/Search?viewData= G/TBT/N/SWE/156"," G/TBT/N/SWE/156")</f>
      </c>
      <c r="D1318" s="8" t="s">
        <v>4445</v>
      </c>
      <c r="E1318" s="8" t="s">
        <v>4446</v>
      </c>
      <c r="F1318" s="8" t="s">
        <v>4367</v>
      </c>
      <c r="G1318" s="6" t="s">
        <v>40</v>
      </c>
      <c r="H1318" s="6" t="s">
        <v>4447</v>
      </c>
      <c r="I1318" s="6" t="s">
        <v>2834</v>
      </c>
      <c r="J1318" s="6" t="s">
        <v>40</v>
      </c>
      <c r="K1318" s="6"/>
      <c r="L1318" s="7">
        <v>45567</v>
      </c>
      <c r="M1318" s="6" t="s">
        <v>25</v>
      </c>
      <c r="N1318" s="8" t="s">
        <v>4448</v>
      </c>
      <c r="O1318" s="6">
        <f>HYPERLINK("https://docs.wto.org/imrd/directdoc.asp?DDFDocuments/t/G/TBTN24/SWE156.DOCX", "https://docs.wto.org/imrd/directdoc.asp?DDFDocuments/t/G/TBTN24/SWE156.DOCX")</f>
      </c>
      <c r="P1318" s="6">
        <f>HYPERLINK("https://docs.wto.org/imrd/directdoc.asp?DDFDocuments/u/G/TBTN24/SWE156.DOCX", "https://docs.wto.org/imrd/directdoc.asp?DDFDocuments/u/G/TBTN24/SWE156.DOCX")</f>
      </c>
      <c r="Q1318" s="6">
        <f>HYPERLINK("https://docs.wto.org/imrd/directdoc.asp?DDFDocuments/v/G/TBTN24/SWE156.DOCX", "https://docs.wto.org/imrd/directdoc.asp?DDFDocuments/v/G/TBTN24/SWE156.DOCX")</f>
      </c>
    </row>
    <row r="1319">
      <c r="A1319" s="6" t="s">
        <v>4073</v>
      </c>
      <c r="B1319" s="7">
        <v>45477</v>
      </c>
      <c r="C1319" s="6">
        <f>HYPERLINK("https://eping.wto.org/en/Search?viewData= G/TBT/N/SWE/148"," G/TBT/N/SWE/148")</f>
      </c>
      <c r="D1319" s="8" t="s">
        <v>4449</v>
      </c>
      <c r="E1319" s="8" t="s">
        <v>4450</v>
      </c>
      <c r="F1319" s="8" t="s">
        <v>4419</v>
      </c>
      <c r="G1319" s="6" t="s">
        <v>40</v>
      </c>
      <c r="H1319" s="6" t="s">
        <v>4451</v>
      </c>
      <c r="I1319" s="6" t="s">
        <v>245</v>
      </c>
      <c r="J1319" s="6" t="s">
        <v>40</v>
      </c>
      <c r="K1319" s="6"/>
      <c r="L1319" s="7">
        <v>45568</v>
      </c>
      <c r="M1319" s="6" t="s">
        <v>25</v>
      </c>
      <c r="N1319" s="8" t="s">
        <v>4452</v>
      </c>
      <c r="O1319" s="6">
        <f>HYPERLINK("https://docs.wto.org/imrd/directdoc.asp?DDFDocuments/t/G/TBTN24/SWE148.DOCX", "https://docs.wto.org/imrd/directdoc.asp?DDFDocuments/t/G/TBTN24/SWE148.DOCX")</f>
      </c>
      <c r="P1319" s="6">
        <f>HYPERLINK("https://docs.wto.org/imrd/directdoc.asp?DDFDocuments/u/G/TBTN24/SWE148.DOCX", "https://docs.wto.org/imrd/directdoc.asp?DDFDocuments/u/G/TBTN24/SWE148.DOCX")</f>
      </c>
      <c r="Q1319" s="6">
        <f>HYPERLINK("https://docs.wto.org/imrd/directdoc.asp?DDFDocuments/v/G/TBTN24/SWE148.DOCX", "https://docs.wto.org/imrd/directdoc.asp?DDFDocuments/v/G/TBTN24/SWE148.DOCX")</f>
      </c>
    </row>
    <row r="1320">
      <c r="A1320" s="6" t="s">
        <v>4073</v>
      </c>
      <c r="B1320" s="7">
        <v>45477</v>
      </c>
      <c r="C1320" s="6">
        <f>HYPERLINK("https://eping.wto.org/en/Search?viewData= G/TBT/N/SWE/149"," G/TBT/N/SWE/149")</f>
      </c>
      <c r="D1320" s="8" t="s">
        <v>4453</v>
      </c>
      <c r="E1320" s="8" t="s">
        <v>4454</v>
      </c>
      <c r="F1320" s="8" t="s">
        <v>3938</v>
      </c>
      <c r="G1320" s="6" t="s">
        <v>40</v>
      </c>
      <c r="H1320" s="6" t="s">
        <v>4451</v>
      </c>
      <c r="I1320" s="6" t="s">
        <v>245</v>
      </c>
      <c r="J1320" s="6" t="s">
        <v>40</v>
      </c>
      <c r="K1320" s="6"/>
      <c r="L1320" s="7">
        <v>45567</v>
      </c>
      <c r="M1320" s="6" t="s">
        <v>25</v>
      </c>
      <c r="N1320" s="8" t="s">
        <v>4455</v>
      </c>
      <c r="O1320" s="6">
        <f>HYPERLINK("https://docs.wto.org/imrd/directdoc.asp?DDFDocuments/t/G/TBTN24/SWE149.DOCX", "https://docs.wto.org/imrd/directdoc.asp?DDFDocuments/t/G/TBTN24/SWE149.DOCX")</f>
      </c>
      <c r="P1320" s="6">
        <f>HYPERLINK("https://docs.wto.org/imrd/directdoc.asp?DDFDocuments/u/G/TBTN24/SWE149.DOCX", "https://docs.wto.org/imrd/directdoc.asp?DDFDocuments/u/G/TBTN24/SWE149.DOCX")</f>
      </c>
      <c r="Q1320" s="6">
        <f>HYPERLINK("https://docs.wto.org/imrd/directdoc.asp?DDFDocuments/v/G/TBTN24/SWE149.DOCX", "https://docs.wto.org/imrd/directdoc.asp?DDFDocuments/v/G/TBTN24/SWE149.DOCX")</f>
      </c>
    </row>
    <row r="1321">
      <c r="A1321" s="6" t="s">
        <v>89</v>
      </c>
      <c r="B1321" s="7">
        <v>45477</v>
      </c>
      <c r="C1321" s="6">
        <f>HYPERLINK("https://eping.wto.org/en/Search?viewData= G/SPS/N/ECU/349"," G/SPS/N/ECU/349")</f>
      </c>
      <c r="D1321" s="8" t="s">
        <v>4456</v>
      </c>
      <c r="E1321" s="8" t="s">
        <v>4457</v>
      </c>
      <c r="F1321" s="8" t="s">
        <v>4458</v>
      </c>
      <c r="G1321" s="6" t="s">
        <v>3293</v>
      </c>
      <c r="H1321" s="6" t="s">
        <v>40</v>
      </c>
      <c r="I1321" s="6" t="s">
        <v>369</v>
      </c>
      <c r="J1321" s="6" t="s">
        <v>370</v>
      </c>
      <c r="K1321" s="6" t="s">
        <v>373</v>
      </c>
      <c r="L1321" s="7">
        <v>45537</v>
      </c>
      <c r="M1321" s="6" t="s">
        <v>25</v>
      </c>
      <c r="N1321" s="8" t="s">
        <v>4459</v>
      </c>
      <c r="O1321" s="6">
        <f>HYPERLINK("https://docs.wto.org/imrd/directdoc.asp?DDFDocuments/t/G/SPS/NECU349.DOCX", "https://docs.wto.org/imrd/directdoc.asp?DDFDocuments/t/G/SPS/NECU349.DOCX")</f>
      </c>
      <c r="P1321" s="6">
        <f>HYPERLINK("https://docs.wto.org/imrd/directdoc.asp?DDFDocuments/u/G/SPS/NECU349.DOCX", "https://docs.wto.org/imrd/directdoc.asp?DDFDocuments/u/G/SPS/NECU349.DOCX")</f>
      </c>
      <c r="Q1321" s="6">
        <f>HYPERLINK("https://docs.wto.org/imrd/directdoc.asp?DDFDocuments/v/G/SPS/NECU349.DOCX", "https://docs.wto.org/imrd/directdoc.asp?DDFDocuments/v/G/SPS/NECU349.DOCX")</f>
      </c>
    </row>
    <row r="1322">
      <c r="A1322" s="6" t="s">
        <v>1076</v>
      </c>
      <c r="B1322" s="7">
        <v>45477</v>
      </c>
      <c r="C1322" s="6">
        <f>HYPERLINK("https://eping.wto.org/en/Search?viewData= G/TBT/N/CHN/1839/Add.1"," G/TBT/N/CHN/1839/Add.1")</f>
      </c>
      <c r="D1322" s="8" t="s">
        <v>4460</v>
      </c>
      <c r="E1322" s="8" t="s">
        <v>4461</v>
      </c>
      <c r="F1322" s="8" t="s">
        <v>4462</v>
      </c>
      <c r="G1322" s="6" t="s">
        <v>4463</v>
      </c>
      <c r="H1322" s="6" t="s">
        <v>4464</v>
      </c>
      <c r="I1322" s="6" t="s">
        <v>926</v>
      </c>
      <c r="J1322" s="6" t="s">
        <v>40</v>
      </c>
      <c r="K1322" s="6"/>
      <c r="L1322" s="7" t="s">
        <v>40</v>
      </c>
      <c r="M1322" s="6" t="s">
        <v>76</v>
      </c>
      <c r="N1322" s="8" t="s">
        <v>4465</v>
      </c>
      <c r="O1322" s="6">
        <f>HYPERLINK("https://docs.wto.org/imrd/directdoc.asp?DDFDocuments/t/G/TBTN24/CHN1839A1.DOCX", "https://docs.wto.org/imrd/directdoc.asp?DDFDocuments/t/G/TBTN24/CHN1839A1.DOCX")</f>
      </c>
      <c r="P1322" s="6">
        <f>HYPERLINK("https://docs.wto.org/imrd/directdoc.asp?DDFDocuments/u/G/TBTN24/CHN1839A1.DOCX", "https://docs.wto.org/imrd/directdoc.asp?DDFDocuments/u/G/TBTN24/CHN1839A1.DOCX")</f>
      </c>
      <c r="Q1322" s="6">
        <f>HYPERLINK("https://docs.wto.org/imrd/directdoc.asp?DDFDocuments/v/G/TBTN24/CHN1839A1.DOCX", "https://docs.wto.org/imrd/directdoc.asp?DDFDocuments/v/G/TBTN24/CHN1839A1.DOCX")</f>
      </c>
    </row>
    <row r="1323">
      <c r="A1323" s="6" t="s">
        <v>4073</v>
      </c>
      <c r="B1323" s="7">
        <v>45477</v>
      </c>
      <c r="C1323" s="6">
        <f>HYPERLINK("https://eping.wto.org/en/Search?viewData= G/TBT/N/SWE/152"," G/TBT/N/SWE/152")</f>
      </c>
      <c r="D1323" s="8" t="s">
        <v>4466</v>
      </c>
      <c r="E1323" s="8" t="s">
        <v>4467</v>
      </c>
      <c r="F1323" s="8" t="s">
        <v>4419</v>
      </c>
      <c r="G1323" s="6" t="s">
        <v>40</v>
      </c>
      <c r="H1323" s="6" t="s">
        <v>4468</v>
      </c>
      <c r="I1323" s="6" t="s">
        <v>245</v>
      </c>
      <c r="J1323" s="6" t="s">
        <v>40</v>
      </c>
      <c r="K1323" s="6"/>
      <c r="L1323" s="7">
        <v>45567</v>
      </c>
      <c r="M1323" s="6" t="s">
        <v>25</v>
      </c>
      <c r="N1323" s="8" t="s">
        <v>4469</v>
      </c>
      <c r="O1323" s="6">
        <f>HYPERLINK("https://docs.wto.org/imrd/directdoc.asp?DDFDocuments/t/G/TBTN24/SWE152.DOCX", "https://docs.wto.org/imrd/directdoc.asp?DDFDocuments/t/G/TBTN24/SWE152.DOCX")</f>
      </c>
      <c r="P1323" s="6">
        <f>HYPERLINK("https://docs.wto.org/imrd/directdoc.asp?DDFDocuments/u/G/TBTN24/SWE152.DOCX", "https://docs.wto.org/imrd/directdoc.asp?DDFDocuments/u/G/TBTN24/SWE152.DOCX")</f>
      </c>
      <c r="Q1323" s="6">
        <f>HYPERLINK("https://docs.wto.org/imrd/directdoc.asp?DDFDocuments/v/G/TBTN24/SWE152.DOCX", "https://docs.wto.org/imrd/directdoc.asp?DDFDocuments/v/G/TBTN24/SWE152.DOCX")</f>
      </c>
    </row>
    <row r="1324">
      <c r="A1324" s="6" t="s">
        <v>4073</v>
      </c>
      <c r="B1324" s="7">
        <v>45477</v>
      </c>
      <c r="C1324" s="6">
        <f>HYPERLINK("https://eping.wto.org/en/Search?viewData= G/TBT/N/SWE/154"," G/TBT/N/SWE/154")</f>
      </c>
      <c r="D1324" s="8" t="s">
        <v>4470</v>
      </c>
      <c r="E1324" s="8" t="s">
        <v>4471</v>
      </c>
      <c r="F1324" s="8" t="s">
        <v>4472</v>
      </c>
      <c r="G1324" s="6" t="s">
        <v>40</v>
      </c>
      <c r="H1324" s="6" t="s">
        <v>4356</v>
      </c>
      <c r="I1324" s="6" t="s">
        <v>1829</v>
      </c>
      <c r="J1324" s="6" t="s">
        <v>40</v>
      </c>
      <c r="K1324" s="6"/>
      <c r="L1324" s="7">
        <v>45568</v>
      </c>
      <c r="M1324" s="6" t="s">
        <v>25</v>
      </c>
      <c r="N1324" s="8" t="s">
        <v>4473</v>
      </c>
      <c r="O1324" s="6">
        <f>HYPERLINK("https://docs.wto.org/imrd/directdoc.asp?DDFDocuments/t/G/TBTN24/SWE154.DOCX", "https://docs.wto.org/imrd/directdoc.asp?DDFDocuments/t/G/TBTN24/SWE154.DOCX")</f>
      </c>
      <c r="P1324" s="6">
        <f>HYPERLINK("https://docs.wto.org/imrd/directdoc.asp?DDFDocuments/u/G/TBTN24/SWE154.DOCX", "https://docs.wto.org/imrd/directdoc.asp?DDFDocuments/u/G/TBTN24/SWE154.DOCX")</f>
      </c>
      <c r="Q1324" s="6">
        <f>HYPERLINK("https://docs.wto.org/imrd/directdoc.asp?DDFDocuments/v/G/TBTN24/SWE154.DOCX", "https://docs.wto.org/imrd/directdoc.asp?DDFDocuments/v/G/TBTN24/SWE154.DOCX")</f>
      </c>
    </row>
    <row r="1325">
      <c r="A1325" s="6" t="s">
        <v>2030</v>
      </c>
      <c r="B1325" s="7">
        <v>45476</v>
      </c>
      <c r="C1325" s="6">
        <f>HYPERLINK("https://eping.wto.org/en/Search?viewData= G/TBT/N/BDI/337/Add.1, G/TBT/N/KEN/1399/Add.1, G/TBT/N/RWA/844/Add.1, G/TBT/N/TZA/923/Add.1, G/TBT/N/UGA/1752/Add.1"," G/TBT/N/BDI/337/Add.1, G/TBT/N/KEN/1399/Add.1, G/TBT/N/RWA/844/Add.1, G/TBT/N/TZA/923/Add.1, G/TBT/N/UGA/1752/Add.1")</f>
      </c>
      <c r="D1325" s="8" t="s">
        <v>4474</v>
      </c>
      <c r="E1325" s="8" t="s">
        <v>4475</v>
      </c>
      <c r="F1325" s="8" t="s">
        <v>4298</v>
      </c>
      <c r="G1325" s="6" t="s">
        <v>4299</v>
      </c>
      <c r="H1325" s="6" t="s">
        <v>3048</v>
      </c>
      <c r="I1325" s="6" t="s">
        <v>4476</v>
      </c>
      <c r="J1325" s="6" t="s">
        <v>3826</v>
      </c>
      <c r="K1325" s="6"/>
      <c r="L1325" s="7" t="s">
        <v>40</v>
      </c>
      <c r="M1325" s="6" t="s">
        <v>76</v>
      </c>
      <c r="N1325" s="6"/>
      <c r="O1325" s="6">
        <f>HYPERLINK("https://docs.wto.org/imrd/directdoc.asp?DDFDocuments/t/G/TBTN23/BDI337A1.DOCX", "https://docs.wto.org/imrd/directdoc.asp?DDFDocuments/t/G/TBTN23/BDI337A1.DOCX")</f>
      </c>
      <c r="P1325" s="6">
        <f>HYPERLINK("https://docs.wto.org/imrd/directdoc.asp?DDFDocuments/u/G/TBTN23/BDI337A1.DOCX", "https://docs.wto.org/imrd/directdoc.asp?DDFDocuments/u/G/TBTN23/BDI337A1.DOCX")</f>
      </c>
      <c r="Q1325" s="6">
        <f>HYPERLINK("https://docs.wto.org/imrd/directdoc.asp?DDFDocuments/v/G/TBTN23/BDI337A1.DOCX", "https://docs.wto.org/imrd/directdoc.asp?DDFDocuments/v/G/TBTN23/BDI337A1.DOCX")</f>
      </c>
    </row>
    <row r="1326">
      <c r="A1326" s="6" t="s">
        <v>2030</v>
      </c>
      <c r="B1326" s="7">
        <v>45476</v>
      </c>
      <c r="C1326" s="6">
        <f>HYPERLINK("https://eping.wto.org/en/Search?viewData= G/TBT/N/BDI/330/Add.1, G/TBT/N/KEN/1392/Add.1, G/TBT/N/RWA/837/Add.1, G/TBT/N/TZA/916/Add.1, G/TBT/N/UGA/1745/Add.1"," G/TBT/N/BDI/330/Add.1, G/TBT/N/KEN/1392/Add.1, G/TBT/N/RWA/837/Add.1, G/TBT/N/TZA/916/Add.1, G/TBT/N/UGA/1745/Add.1")</f>
      </c>
      <c r="D1326" s="8" t="s">
        <v>4477</v>
      </c>
      <c r="E1326" s="8" t="s">
        <v>4478</v>
      </c>
      <c r="F1326" s="8" t="s">
        <v>4479</v>
      </c>
      <c r="G1326" s="6" t="s">
        <v>4480</v>
      </c>
      <c r="H1326" s="6" t="s">
        <v>320</v>
      </c>
      <c r="I1326" s="6" t="s">
        <v>4481</v>
      </c>
      <c r="J1326" s="6" t="s">
        <v>122</v>
      </c>
      <c r="K1326" s="6"/>
      <c r="L1326" s="7" t="s">
        <v>40</v>
      </c>
      <c r="M1326" s="6" t="s">
        <v>76</v>
      </c>
      <c r="N1326" s="6"/>
      <c r="O1326" s="6">
        <f>HYPERLINK("https://docs.wto.org/imrd/directdoc.asp?DDFDocuments/t/G/TBTN23/BDI330A1.DOCX", "https://docs.wto.org/imrd/directdoc.asp?DDFDocuments/t/G/TBTN23/BDI330A1.DOCX")</f>
      </c>
      <c r="P1326" s="6">
        <f>HYPERLINK("https://docs.wto.org/imrd/directdoc.asp?DDFDocuments/u/G/TBTN23/BDI330A1.DOCX", "https://docs.wto.org/imrd/directdoc.asp?DDFDocuments/u/G/TBTN23/BDI330A1.DOCX")</f>
      </c>
      <c r="Q1326" s="6">
        <f>HYPERLINK("https://docs.wto.org/imrd/directdoc.asp?DDFDocuments/v/G/TBTN23/BDI330A1.DOCX", "https://docs.wto.org/imrd/directdoc.asp?DDFDocuments/v/G/TBTN23/BDI330A1.DOCX")</f>
      </c>
    </row>
    <row r="1327">
      <c r="A1327" s="6" t="s">
        <v>2030</v>
      </c>
      <c r="B1327" s="7">
        <v>45476</v>
      </c>
      <c r="C1327" s="6">
        <f>HYPERLINK("https://eping.wto.org/en/Search?viewData= G/TBT/N/BDI/362/Add.1, G/TBT/N/KEN/1442/Add.1, G/TBT/N/RWA/873/Add.1, G/TBT/N/TZA/976/Add.1, G/TBT/N/UGA/1778/Add.1"," G/TBT/N/BDI/362/Add.1, G/TBT/N/KEN/1442/Add.1, G/TBT/N/RWA/873/Add.1, G/TBT/N/TZA/976/Add.1, G/TBT/N/UGA/1778/Add.1")</f>
      </c>
      <c r="D1327" s="8" t="s">
        <v>4482</v>
      </c>
      <c r="E1327" s="8" t="s">
        <v>4483</v>
      </c>
      <c r="F1327" s="8" t="s">
        <v>4484</v>
      </c>
      <c r="G1327" s="6" t="s">
        <v>4485</v>
      </c>
      <c r="H1327" s="6" t="s">
        <v>4486</v>
      </c>
      <c r="I1327" s="6" t="s">
        <v>4487</v>
      </c>
      <c r="J1327" s="6" t="s">
        <v>40</v>
      </c>
      <c r="K1327" s="6"/>
      <c r="L1327" s="7" t="s">
        <v>40</v>
      </c>
      <c r="M1327" s="6" t="s">
        <v>76</v>
      </c>
      <c r="N1327" s="6"/>
      <c r="O1327" s="6">
        <f>HYPERLINK("https://docs.wto.org/imrd/directdoc.asp?DDFDocuments/t/G/TBTN23/BDI362A1.DOCX", "https://docs.wto.org/imrd/directdoc.asp?DDFDocuments/t/G/TBTN23/BDI362A1.DOCX")</f>
      </c>
      <c r="P1327" s="6">
        <f>HYPERLINK("https://docs.wto.org/imrd/directdoc.asp?DDFDocuments/u/G/TBTN23/BDI362A1.DOCX", "https://docs.wto.org/imrd/directdoc.asp?DDFDocuments/u/G/TBTN23/BDI362A1.DOCX")</f>
      </c>
      <c r="Q1327" s="6">
        <f>HYPERLINK("https://docs.wto.org/imrd/directdoc.asp?DDFDocuments/v/G/TBTN23/BDI362A1.DOCX", "https://docs.wto.org/imrd/directdoc.asp?DDFDocuments/v/G/TBTN23/BDI362A1.DOCX")</f>
      </c>
    </row>
    <row r="1328">
      <c r="A1328" s="6" t="s">
        <v>2041</v>
      </c>
      <c r="B1328" s="7">
        <v>45476</v>
      </c>
      <c r="C1328" s="6">
        <f>HYPERLINK("https://eping.wto.org/en/Search?viewData= G/TBT/N/BDI/333/Add.1, G/TBT/N/KEN/1395/Add.1, G/TBT/N/RWA/840/Add.1, G/TBT/N/TZA/919/Add.1, G/TBT/N/UGA/1748/Add.1"," G/TBT/N/BDI/333/Add.1, G/TBT/N/KEN/1395/Add.1, G/TBT/N/RWA/840/Add.1, G/TBT/N/TZA/919/Add.1, G/TBT/N/UGA/1748/Add.1")</f>
      </c>
      <c r="D1328" s="8" t="s">
        <v>4488</v>
      </c>
      <c r="E1328" s="8" t="s">
        <v>4489</v>
      </c>
      <c r="F1328" s="8" t="s">
        <v>4314</v>
      </c>
      <c r="G1328" s="6" t="s">
        <v>4315</v>
      </c>
      <c r="H1328" s="6" t="s">
        <v>320</v>
      </c>
      <c r="I1328" s="6" t="s">
        <v>3280</v>
      </c>
      <c r="J1328" s="6" t="s">
        <v>122</v>
      </c>
      <c r="K1328" s="6"/>
      <c r="L1328" s="7" t="s">
        <v>40</v>
      </c>
      <c r="M1328" s="6" t="s">
        <v>76</v>
      </c>
      <c r="N1328" s="6"/>
      <c r="O1328" s="6">
        <f>HYPERLINK("https://docs.wto.org/imrd/directdoc.asp?DDFDocuments/t/G/TBTN23/BDI333A1.DOCX", "https://docs.wto.org/imrd/directdoc.asp?DDFDocuments/t/G/TBTN23/BDI333A1.DOCX")</f>
      </c>
      <c r="P1328" s="6">
        <f>HYPERLINK("https://docs.wto.org/imrd/directdoc.asp?DDFDocuments/u/G/TBTN23/BDI333A1.DOCX", "https://docs.wto.org/imrd/directdoc.asp?DDFDocuments/u/G/TBTN23/BDI333A1.DOCX")</f>
      </c>
      <c r="Q1328" s="6">
        <f>HYPERLINK("https://docs.wto.org/imrd/directdoc.asp?DDFDocuments/v/G/TBTN23/BDI333A1.DOCX", "https://docs.wto.org/imrd/directdoc.asp?DDFDocuments/v/G/TBTN23/BDI333A1.DOCX")</f>
      </c>
    </row>
    <row r="1329">
      <c r="A1329" s="6" t="s">
        <v>2041</v>
      </c>
      <c r="B1329" s="7">
        <v>45476</v>
      </c>
      <c r="C1329" s="6">
        <f>HYPERLINK("https://eping.wto.org/en/Search?viewData= G/TBT/N/BDI/362/Add.1, G/TBT/N/KEN/1442/Add.1, G/TBT/N/RWA/873/Add.1, G/TBT/N/TZA/976/Add.1, G/TBT/N/UGA/1778/Add.1"," G/TBT/N/BDI/362/Add.1, G/TBT/N/KEN/1442/Add.1, G/TBT/N/RWA/873/Add.1, G/TBT/N/TZA/976/Add.1, G/TBT/N/UGA/1778/Add.1")</f>
      </c>
      <c r="D1329" s="8" t="s">
        <v>4482</v>
      </c>
      <c r="E1329" s="8" t="s">
        <v>4483</v>
      </c>
      <c r="F1329" s="8" t="s">
        <v>4484</v>
      </c>
      <c r="G1329" s="6" t="s">
        <v>4485</v>
      </c>
      <c r="H1329" s="6" t="s">
        <v>4486</v>
      </c>
      <c r="I1329" s="6" t="s">
        <v>4490</v>
      </c>
      <c r="J1329" s="6" t="s">
        <v>40</v>
      </c>
      <c r="K1329" s="6"/>
      <c r="L1329" s="7" t="s">
        <v>40</v>
      </c>
      <c r="M1329" s="6" t="s">
        <v>76</v>
      </c>
      <c r="N1329" s="6"/>
      <c r="O1329" s="6">
        <f>HYPERLINK("https://docs.wto.org/imrd/directdoc.asp?DDFDocuments/t/G/TBTN23/BDI362A1.DOCX", "https://docs.wto.org/imrd/directdoc.asp?DDFDocuments/t/G/TBTN23/BDI362A1.DOCX")</f>
      </c>
      <c r="P1329" s="6">
        <f>HYPERLINK("https://docs.wto.org/imrd/directdoc.asp?DDFDocuments/u/G/TBTN23/BDI362A1.DOCX", "https://docs.wto.org/imrd/directdoc.asp?DDFDocuments/u/G/TBTN23/BDI362A1.DOCX")</f>
      </c>
      <c r="Q1329" s="6">
        <f>HYPERLINK("https://docs.wto.org/imrd/directdoc.asp?DDFDocuments/v/G/TBTN23/BDI362A1.DOCX", "https://docs.wto.org/imrd/directdoc.asp?DDFDocuments/v/G/TBTN23/BDI362A1.DOCX")</f>
      </c>
    </row>
    <row r="1330">
      <c r="A1330" s="6" t="s">
        <v>17</v>
      </c>
      <c r="B1330" s="7">
        <v>45476</v>
      </c>
      <c r="C1330" s="6">
        <f>HYPERLINK("https://eping.wto.org/en/Search?viewData= G/TBT/N/BDI/340/Add.1, G/TBT/N/KEN/1403/Add.1, G/TBT/N/RWA/847/Add.1, G/TBT/N/TZA/926/Add.1, G/TBT/N/UGA/1755/Add.1"," G/TBT/N/BDI/340/Add.1, G/TBT/N/KEN/1403/Add.1, G/TBT/N/RWA/847/Add.1, G/TBT/N/TZA/926/Add.1, G/TBT/N/UGA/1755/Add.1")</f>
      </c>
      <c r="D1330" s="8" t="s">
        <v>4491</v>
      </c>
      <c r="E1330" s="8" t="s">
        <v>4492</v>
      </c>
      <c r="F1330" s="8" t="s">
        <v>4493</v>
      </c>
      <c r="G1330" s="6" t="s">
        <v>4494</v>
      </c>
      <c r="H1330" s="6" t="s">
        <v>4495</v>
      </c>
      <c r="I1330" s="6" t="s">
        <v>4496</v>
      </c>
      <c r="J1330" s="6" t="s">
        <v>40</v>
      </c>
      <c r="K1330" s="6"/>
      <c r="L1330" s="7" t="s">
        <v>40</v>
      </c>
      <c r="M1330" s="6" t="s">
        <v>76</v>
      </c>
      <c r="N1330" s="6"/>
      <c r="O1330" s="6">
        <f>HYPERLINK("https://docs.wto.org/imrd/directdoc.asp?DDFDocuments/t/G/TBTN23/BDI340A1.DOCX", "https://docs.wto.org/imrd/directdoc.asp?DDFDocuments/t/G/TBTN23/BDI340A1.DOCX")</f>
      </c>
      <c r="P1330" s="6">
        <f>HYPERLINK("https://docs.wto.org/imrd/directdoc.asp?DDFDocuments/u/G/TBTN23/BDI340A1.DOCX", "https://docs.wto.org/imrd/directdoc.asp?DDFDocuments/u/G/TBTN23/BDI340A1.DOCX")</f>
      </c>
      <c r="Q1330" s="6">
        <f>HYPERLINK("https://docs.wto.org/imrd/directdoc.asp?DDFDocuments/v/G/TBTN23/BDI340A1.DOCX", "https://docs.wto.org/imrd/directdoc.asp?DDFDocuments/v/G/TBTN23/BDI340A1.DOCX")</f>
      </c>
    </row>
    <row r="1331">
      <c r="A1331" s="6" t="s">
        <v>17</v>
      </c>
      <c r="B1331" s="7">
        <v>45476</v>
      </c>
      <c r="C1331" s="6">
        <f>HYPERLINK("https://eping.wto.org/en/Search?viewData= G/TBT/N/BDI/366/Add.1, G/TBT/N/KEN/1446/Add.1, G/TBT/N/RWA/877/Add.1, G/TBT/N/TZA/980/Add.1, G/TBT/N/UGA/1783/Add.1"," G/TBT/N/BDI/366/Add.1, G/TBT/N/KEN/1446/Add.1, G/TBT/N/RWA/877/Add.1, G/TBT/N/TZA/980/Add.1, G/TBT/N/UGA/1783/Add.1")</f>
      </c>
      <c r="D1331" s="8" t="s">
        <v>4497</v>
      </c>
      <c r="E1331" s="8" t="s">
        <v>4498</v>
      </c>
      <c r="F1331" s="8" t="s">
        <v>4499</v>
      </c>
      <c r="G1331" s="6" t="s">
        <v>1118</v>
      </c>
      <c r="H1331" s="6" t="s">
        <v>208</v>
      </c>
      <c r="I1331" s="6" t="s">
        <v>4500</v>
      </c>
      <c r="J1331" s="6" t="s">
        <v>40</v>
      </c>
      <c r="K1331" s="6"/>
      <c r="L1331" s="7" t="s">
        <v>40</v>
      </c>
      <c r="M1331" s="6" t="s">
        <v>76</v>
      </c>
      <c r="N1331" s="6"/>
      <c r="O1331" s="6">
        <f>HYPERLINK("https://docs.wto.org/imrd/directdoc.asp?DDFDocuments/t/G/TBTN23/BDI366A1.DOCX", "https://docs.wto.org/imrd/directdoc.asp?DDFDocuments/t/G/TBTN23/BDI366A1.DOCX")</f>
      </c>
      <c r="P1331" s="6">
        <f>HYPERLINK("https://docs.wto.org/imrd/directdoc.asp?DDFDocuments/u/G/TBTN23/BDI366A1.DOCX", "https://docs.wto.org/imrd/directdoc.asp?DDFDocuments/u/G/TBTN23/BDI366A1.DOCX")</f>
      </c>
      <c r="Q1331" s="6">
        <f>HYPERLINK("https://docs.wto.org/imrd/directdoc.asp?DDFDocuments/v/G/TBTN23/BDI366A1.DOCX", "https://docs.wto.org/imrd/directdoc.asp?DDFDocuments/v/G/TBTN23/BDI366A1.DOCX")</f>
      </c>
    </row>
    <row r="1332">
      <c r="A1332" s="6" t="s">
        <v>2024</v>
      </c>
      <c r="B1332" s="7">
        <v>45476</v>
      </c>
      <c r="C1332" s="6">
        <f>HYPERLINK("https://eping.wto.org/en/Search?viewData= G/TBT/N/BDI/365/Add.1, G/TBT/N/KEN/1445/Add.1, G/TBT/N/RWA/876/Add.1, G/TBT/N/TZA/979/Add.1, G/TBT/N/UGA/1782/Add.1"," G/TBT/N/BDI/365/Add.1, G/TBT/N/KEN/1445/Add.1, G/TBT/N/RWA/876/Add.1, G/TBT/N/TZA/979/Add.1, G/TBT/N/UGA/1782/Add.1")</f>
      </c>
      <c r="D1332" s="8" t="s">
        <v>4501</v>
      </c>
      <c r="E1332" s="8" t="s">
        <v>4502</v>
      </c>
      <c r="F1332" s="8" t="s">
        <v>4503</v>
      </c>
      <c r="G1332" s="6" t="s">
        <v>4504</v>
      </c>
      <c r="H1332" s="6" t="s">
        <v>4505</v>
      </c>
      <c r="I1332" s="6" t="s">
        <v>4490</v>
      </c>
      <c r="J1332" s="6" t="s">
        <v>40</v>
      </c>
      <c r="K1332" s="6"/>
      <c r="L1332" s="7" t="s">
        <v>40</v>
      </c>
      <c r="M1332" s="6" t="s">
        <v>76</v>
      </c>
      <c r="N1332" s="6"/>
      <c r="O1332" s="6">
        <f>HYPERLINK("https://docs.wto.org/imrd/directdoc.asp?DDFDocuments/t/G/TBTN23/BDI365A1.DOCX", "https://docs.wto.org/imrd/directdoc.asp?DDFDocuments/t/G/TBTN23/BDI365A1.DOCX")</f>
      </c>
      <c r="P1332" s="6">
        <f>HYPERLINK("https://docs.wto.org/imrd/directdoc.asp?DDFDocuments/u/G/TBTN23/BDI365A1.DOCX", "https://docs.wto.org/imrd/directdoc.asp?DDFDocuments/u/G/TBTN23/BDI365A1.DOCX")</f>
      </c>
      <c r="Q1332" s="6">
        <f>HYPERLINK("https://docs.wto.org/imrd/directdoc.asp?DDFDocuments/v/G/TBTN23/BDI365A1.DOCX", "https://docs.wto.org/imrd/directdoc.asp?DDFDocuments/v/G/TBTN23/BDI365A1.DOCX")</f>
      </c>
    </row>
    <row r="1333">
      <c r="A1333" s="6" t="s">
        <v>880</v>
      </c>
      <c r="B1333" s="7">
        <v>45476</v>
      </c>
      <c r="C1333" s="6">
        <f>HYPERLINK("https://eping.wto.org/en/Search?viewData= G/TBT/N/BDI/274/Add.1, G/TBT/N/KEN/1302/Add.1, G/TBT/N/RWA/708/Add.1, G/TBT/N/TZA/827/Add.1, G/TBT/N/UGA/1682/Add.1"," G/TBT/N/BDI/274/Add.1, G/TBT/N/KEN/1302/Add.1, G/TBT/N/RWA/708/Add.1, G/TBT/N/TZA/827/Add.1, G/TBT/N/UGA/1682/Add.1")</f>
      </c>
      <c r="D1333" s="8" t="s">
        <v>4506</v>
      </c>
      <c r="E1333" s="8" t="s">
        <v>4507</v>
      </c>
      <c r="F1333" s="8" t="s">
        <v>4508</v>
      </c>
      <c r="G1333" s="6" t="s">
        <v>4509</v>
      </c>
      <c r="H1333" s="6" t="s">
        <v>208</v>
      </c>
      <c r="I1333" s="6" t="s">
        <v>3280</v>
      </c>
      <c r="J1333" s="6" t="s">
        <v>40</v>
      </c>
      <c r="K1333" s="6"/>
      <c r="L1333" s="7" t="s">
        <v>40</v>
      </c>
      <c r="M1333" s="6" t="s">
        <v>76</v>
      </c>
      <c r="N1333" s="6"/>
      <c r="O1333" s="6">
        <f>HYPERLINK("https://docs.wto.org/imrd/directdoc.asp?DDFDocuments/t/G/TBTN22/BDI274A1.DOCX", "https://docs.wto.org/imrd/directdoc.asp?DDFDocuments/t/G/TBTN22/BDI274A1.DOCX")</f>
      </c>
      <c r="P1333" s="6">
        <f>HYPERLINK("https://docs.wto.org/imrd/directdoc.asp?DDFDocuments/u/G/TBTN22/BDI274A1.DOCX", "https://docs.wto.org/imrd/directdoc.asp?DDFDocuments/u/G/TBTN22/BDI274A1.DOCX")</f>
      </c>
      <c r="Q1333" s="6">
        <f>HYPERLINK("https://docs.wto.org/imrd/directdoc.asp?DDFDocuments/v/G/TBTN22/BDI274A1.DOCX", "https://docs.wto.org/imrd/directdoc.asp?DDFDocuments/v/G/TBTN22/BDI274A1.DOCX")</f>
      </c>
    </row>
    <row r="1334">
      <c r="A1334" s="6" t="s">
        <v>2041</v>
      </c>
      <c r="B1334" s="7">
        <v>45476</v>
      </c>
      <c r="C1334" s="6">
        <f>HYPERLINK("https://eping.wto.org/en/Search?viewData= G/TBT/N/BDI/305/Add.1, G/TBT/N/KEN/1347/Add.1, G/TBT/N/RWA/746/Add.1, G/TBT/N/TZA/869/Add.1, G/TBT/N/UGA/1714/Add.1"," G/TBT/N/BDI/305/Add.1, G/TBT/N/KEN/1347/Add.1, G/TBT/N/RWA/746/Add.1, G/TBT/N/TZA/869/Add.1, G/TBT/N/UGA/1714/Add.1")</f>
      </c>
      <c r="D1334" s="8" t="s">
        <v>4510</v>
      </c>
      <c r="E1334" s="8" t="s">
        <v>4511</v>
      </c>
      <c r="F1334" s="8" t="s">
        <v>4512</v>
      </c>
      <c r="G1334" s="6" t="s">
        <v>3363</v>
      </c>
      <c r="H1334" s="6" t="s">
        <v>3364</v>
      </c>
      <c r="I1334" s="6" t="s">
        <v>4490</v>
      </c>
      <c r="J1334" s="6" t="s">
        <v>40</v>
      </c>
      <c r="K1334" s="6"/>
      <c r="L1334" s="7" t="s">
        <v>40</v>
      </c>
      <c r="M1334" s="6" t="s">
        <v>76</v>
      </c>
      <c r="N1334" s="6"/>
      <c r="O1334" s="6">
        <f>HYPERLINK("https://docs.wto.org/imrd/directdoc.asp?DDFDocuments/t/G/TBTN22/BDI305A1.DOCX", "https://docs.wto.org/imrd/directdoc.asp?DDFDocuments/t/G/TBTN22/BDI305A1.DOCX")</f>
      </c>
      <c r="P1334" s="6">
        <f>HYPERLINK("https://docs.wto.org/imrd/directdoc.asp?DDFDocuments/u/G/TBTN22/BDI305A1.DOCX", "https://docs.wto.org/imrd/directdoc.asp?DDFDocuments/u/G/TBTN22/BDI305A1.DOCX")</f>
      </c>
      <c r="Q1334" s="6">
        <f>HYPERLINK("https://docs.wto.org/imrd/directdoc.asp?DDFDocuments/v/G/TBTN22/BDI305A1.DOCX", "https://docs.wto.org/imrd/directdoc.asp?DDFDocuments/v/G/TBTN22/BDI305A1.DOCX")</f>
      </c>
    </row>
    <row r="1335">
      <c r="A1335" s="6" t="s">
        <v>2024</v>
      </c>
      <c r="B1335" s="7">
        <v>45476</v>
      </c>
      <c r="C1335" s="6">
        <f>HYPERLINK("https://eping.wto.org/en/Search?viewData= G/TBT/N/BDI/306/Add.1, G/TBT/N/KEN/1348/Add.1, G/TBT/N/RWA/747/Add.1, G/TBT/N/TZA/870/Add.1, G/TBT/N/UGA/1715/Add.1"," G/TBT/N/BDI/306/Add.1, G/TBT/N/KEN/1348/Add.1, G/TBT/N/RWA/747/Add.1, G/TBT/N/TZA/870/Add.1, G/TBT/N/UGA/1715/Add.1")</f>
      </c>
      <c r="D1335" s="8" t="s">
        <v>4513</v>
      </c>
      <c r="E1335" s="8" t="s">
        <v>4514</v>
      </c>
      <c r="F1335" s="8" t="s">
        <v>4512</v>
      </c>
      <c r="G1335" s="6" t="s">
        <v>3363</v>
      </c>
      <c r="H1335" s="6" t="s">
        <v>3364</v>
      </c>
      <c r="I1335" s="6" t="s">
        <v>4490</v>
      </c>
      <c r="J1335" s="6" t="s">
        <v>40</v>
      </c>
      <c r="K1335" s="6"/>
      <c r="L1335" s="7" t="s">
        <v>40</v>
      </c>
      <c r="M1335" s="6" t="s">
        <v>76</v>
      </c>
      <c r="N1335" s="6"/>
      <c r="O1335" s="6">
        <f>HYPERLINK("https://docs.wto.org/imrd/directdoc.asp?DDFDocuments/t/G/TBTN22/BDI306A1.DOCX", "https://docs.wto.org/imrd/directdoc.asp?DDFDocuments/t/G/TBTN22/BDI306A1.DOCX")</f>
      </c>
      <c r="P1335" s="6">
        <f>HYPERLINK("https://docs.wto.org/imrd/directdoc.asp?DDFDocuments/u/G/TBTN22/BDI306A1.DOCX", "https://docs.wto.org/imrd/directdoc.asp?DDFDocuments/u/G/TBTN22/BDI306A1.DOCX")</f>
      </c>
      <c r="Q1335" s="6">
        <f>HYPERLINK("https://docs.wto.org/imrd/directdoc.asp?DDFDocuments/v/G/TBTN22/BDI306A1.DOCX", "https://docs.wto.org/imrd/directdoc.asp?DDFDocuments/v/G/TBTN22/BDI306A1.DOCX")</f>
      </c>
    </row>
    <row r="1336">
      <c r="A1336" s="6" t="s">
        <v>2041</v>
      </c>
      <c r="B1336" s="7">
        <v>45476</v>
      </c>
      <c r="C1336" s="6">
        <f>HYPERLINK("https://eping.wto.org/en/Search?viewData= G/TBT/N/BDI/306/Add.1, G/TBT/N/KEN/1348/Add.1, G/TBT/N/RWA/747/Add.1, G/TBT/N/TZA/870/Add.1, G/TBT/N/UGA/1715/Add.1"," G/TBT/N/BDI/306/Add.1, G/TBT/N/KEN/1348/Add.1, G/TBT/N/RWA/747/Add.1, G/TBT/N/TZA/870/Add.1, G/TBT/N/UGA/1715/Add.1")</f>
      </c>
      <c r="D1336" s="8" t="s">
        <v>4513</v>
      </c>
      <c r="E1336" s="8" t="s">
        <v>4514</v>
      </c>
      <c r="F1336" s="8" t="s">
        <v>4512</v>
      </c>
      <c r="G1336" s="6" t="s">
        <v>3363</v>
      </c>
      <c r="H1336" s="6" t="s">
        <v>3364</v>
      </c>
      <c r="I1336" s="6" t="s">
        <v>4490</v>
      </c>
      <c r="J1336" s="6" t="s">
        <v>40</v>
      </c>
      <c r="K1336" s="6"/>
      <c r="L1336" s="7" t="s">
        <v>40</v>
      </c>
      <c r="M1336" s="6" t="s">
        <v>76</v>
      </c>
      <c r="N1336" s="6"/>
      <c r="O1336" s="6">
        <f>HYPERLINK("https://docs.wto.org/imrd/directdoc.asp?DDFDocuments/t/G/TBTN22/BDI306A1.DOCX", "https://docs.wto.org/imrd/directdoc.asp?DDFDocuments/t/G/TBTN22/BDI306A1.DOCX")</f>
      </c>
      <c r="P1336" s="6">
        <f>HYPERLINK("https://docs.wto.org/imrd/directdoc.asp?DDFDocuments/u/G/TBTN22/BDI306A1.DOCX", "https://docs.wto.org/imrd/directdoc.asp?DDFDocuments/u/G/TBTN22/BDI306A1.DOCX")</f>
      </c>
      <c r="Q1336" s="6">
        <f>HYPERLINK("https://docs.wto.org/imrd/directdoc.asp?DDFDocuments/v/G/TBTN22/BDI306A1.DOCX", "https://docs.wto.org/imrd/directdoc.asp?DDFDocuments/v/G/TBTN22/BDI306A1.DOCX")</f>
      </c>
    </row>
    <row r="1337">
      <c r="A1337" s="6" t="s">
        <v>880</v>
      </c>
      <c r="B1337" s="7">
        <v>45476</v>
      </c>
      <c r="C1337" s="6">
        <f>HYPERLINK("https://eping.wto.org/en/Search?viewData= G/TBT/N/BDI/306/Add.1, G/TBT/N/KEN/1348/Add.1, G/TBT/N/RWA/747/Add.1, G/TBT/N/TZA/870/Add.1, G/TBT/N/UGA/1715/Add.1"," G/TBT/N/BDI/306/Add.1, G/TBT/N/KEN/1348/Add.1, G/TBT/N/RWA/747/Add.1, G/TBT/N/TZA/870/Add.1, G/TBT/N/UGA/1715/Add.1")</f>
      </c>
      <c r="D1337" s="8" t="s">
        <v>4513</v>
      </c>
      <c r="E1337" s="8" t="s">
        <v>4514</v>
      </c>
      <c r="F1337" s="8" t="s">
        <v>4512</v>
      </c>
      <c r="G1337" s="6" t="s">
        <v>3363</v>
      </c>
      <c r="H1337" s="6" t="s">
        <v>3364</v>
      </c>
      <c r="I1337" s="6" t="s">
        <v>4490</v>
      </c>
      <c r="J1337" s="6" t="s">
        <v>40</v>
      </c>
      <c r="K1337" s="6"/>
      <c r="L1337" s="7" t="s">
        <v>40</v>
      </c>
      <c r="M1337" s="6" t="s">
        <v>76</v>
      </c>
      <c r="N1337" s="6"/>
      <c r="O1337" s="6">
        <f>HYPERLINK("https://docs.wto.org/imrd/directdoc.asp?DDFDocuments/t/G/TBTN22/BDI306A1.DOCX", "https://docs.wto.org/imrd/directdoc.asp?DDFDocuments/t/G/TBTN22/BDI306A1.DOCX")</f>
      </c>
      <c r="P1337" s="6">
        <f>HYPERLINK("https://docs.wto.org/imrd/directdoc.asp?DDFDocuments/u/G/TBTN22/BDI306A1.DOCX", "https://docs.wto.org/imrd/directdoc.asp?DDFDocuments/u/G/TBTN22/BDI306A1.DOCX")</f>
      </c>
      <c r="Q1337" s="6">
        <f>HYPERLINK("https://docs.wto.org/imrd/directdoc.asp?DDFDocuments/v/G/TBTN22/BDI306A1.DOCX", "https://docs.wto.org/imrd/directdoc.asp?DDFDocuments/v/G/TBTN22/BDI306A1.DOCX")</f>
      </c>
    </row>
    <row r="1338">
      <c r="A1338" s="6" t="s">
        <v>2030</v>
      </c>
      <c r="B1338" s="7">
        <v>45476</v>
      </c>
      <c r="C1338" s="6">
        <f>HYPERLINK("https://eping.wto.org/en/Search?viewData= G/TBT/N/BDI/346/Add.1, G/TBT/N/KEN/1414/Add.1, G/TBT/N/RWA/853/Add.1, G/TBT/N/TZA/936/Add.1, G/TBT/N/UGA/1762/Add.1"," G/TBT/N/BDI/346/Add.1, G/TBT/N/KEN/1414/Add.1, G/TBT/N/RWA/853/Add.1, G/TBT/N/TZA/936/Add.1, G/TBT/N/UGA/1762/Add.1")</f>
      </c>
      <c r="D1338" s="8" t="s">
        <v>4515</v>
      </c>
      <c r="E1338" s="8" t="s">
        <v>4516</v>
      </c>
      <c r="F1338" s="8" t="s">
        <v>4517</v>
      </c>
      <c r="G1338" s="6" t="s">
        <v>4518</v>
      </c>
      <c r="H1338" s="6" t="s">
        <v>4519</v>
      </c>
      <c r="I1338" s="6" t="s">
        <v>4520</v>
      </c>
      <c r="J1338" s="6" t="s">
        <v>40</v>
      </c>
      <c r="K1338" s="6"/>
      <c r="L1338" s="7" t="s">
        <v>40</v>
      </c>
      <c r="M1338" s="6" t="s">
        <v>76</v>
      </c>
      <c r="N1338" s="6"/>
      <c r="O1338" s="6">
        <f>HYPERLINK("https://docs.wto.org/imrd/directdoc.asp?DDFDocuments/t/G/TBTN23/BDI346A1.DOCX", "https://docs.wto.org/imrd/directdoc.asp?DDFDocuments/t/G/TBTN23/BDI346A1.DOCX")</f>
      </c>
      <c r="P1338" s="6">
        <f>HYPERLINK("https://docs.wto.org/imrd/directdoc.asp?DDFDocuments/u/G/TBTN23/BDI346A1.DOCX", "https://docs.wto.org/imrd/directdoc.asp?DDFDocuments/u/G/TBTN23/BDI346A1.DOCX")</f>
      </c>
      <c r="Q1338" s="6">
        <f>HYPERLINK("https://docs.wto.org/imrd/directdoc.asp?DDFDocuments/v/G/TBTN23/BDI346A1.DOCX", "https://docs.wto.org/imrd/directdoc.asp?DDFDocuments/v/G/TBTN23/BDI346A1.DOCX")</f>
      </c>
    </row>
    <row r="1339">
      <c r="A1339" s="6" t="s">
        <v>2024</v>
      </c>
      <c r="B1339" s="7">
        <v>45476</v>
      </c>
      <c r="C1339" s="6">
        <f>HYPERLINK("https://eping.wto.org/en/Search?viewData= G/TBT/N/BDI/329/Add.1, G/TBT/N/KEN/1391/Add.1, G/TBT/N/RWA/836/Add.1, G/TBT/N/TZA/915/Add.1, G/TBT/N/UGA/1744/Add.1"," G/TBT/N/BDI/329/Add.1, G/TBT/N/KEN/1391/Add.1, G/TBT/N/RWA/836/Add.1, G/TBT/N/TZA/915/Add.1, G/TBT/N/UGA/1744/Add.1")</f>
      </c>
      <c r="D1339" s="8" t="s">
        <v>4327</v>
      </c>
      <c r="E1339" s="8" t="s">
        <v>4521</v>
      </c>
      <c r="F1339" s="8" t="s">
        <v>4325</v>
      </c>
      <c r="G1339" s="6" t="s">
        <v>4326</v>
      </c>
      <c r="H1339" s="6" t="s">
        <v>320</v>
      </c>
      <c r="I1339" s="6" t="s">
        <v>4522</v>
      </c>
      <c r="J1339" s="6" t="s">
        <v>122</v>
      </c>
      <c r="K1339" s="6"/>
      <c r="L1339" s="7" t="s">
        <v>40</v>
      </c>
      <c r="M1339" s="6" t="s">
        <v>76</v>
      </c>
      <c r="N1339" s="6"/>
      <c r="O1339" s="6">
        <f>HYPERLINK("https://docs.wto.org/imrd/directdoc.asp?DDFDocuments/t/G/TBTN23/BDI329A1.DOCX", "https://docs.wto.org/imrd/directdoc.asp?DDFDocuments/t/G/TBTN23/BDI329A1.DOCX")</f>
      </c>
      <c r="P1339" s="6">
        <f>HYPERLINK("https://docs.wto.org/imrd/directdoc.asp?DDFDocuments/u/G/TBTN23/BDI329A1.DOCX", "https://docs.wto.org/imrd/directdoc.asp?DDFDocuments/u/G/TBTN23/BDI329A1.DOCX")</f>
      </c>
      <c r="Q1339" s="6">
        <f>HYPERLINK("https://docs.wto.org/imrd/directdoc.asp?DDFDocuments/v/G/TBTN23/BDI329A1.DOCX", "https://docs.wto.org/imrd/directdoc.asp?DDFDocuments/v/G/TBTN23/BDI329A1.DOCX")</f>
      </c>
    </row>
    <row r="1340">
      <c r="A1340" s="6" t="s">
        <v>880</v>
      </c>
      <c r="B1340" s="7">
        <v>45476</v>
      </c>
      <c r="C1340" s="6">
        <f>HYPERLINK("https://eping.wto.org/en/Search?viewData= G/TBT/N/BDI/360/Add.1, G/TBT/N/KEN/1440/Add.1, G/TBT/N/RWA/871/Add.1, G/TBT/N/TZA/974/Add.1, G/TBT/N/UGA/1776/Add.1"," G/TBT/N/BDI/360/Add.1, G/TBT/N/KEN/1440/Add.1, G/TBT/N/RWA/871/Add.1, G/TBT/N/TZA/974/Add.1, G/TBT/N/UGA/1776/Add.1")</f>
      </c>
      <c r="D1340" s="8" t="s">
        <v>4523</v>
      </c>
      <c r="E1340" s="8" t="s">
        <v>4524</v>
      </c>
      <c r="F1340" s="8" t="s">
        <v>4525</v>
      </c>
      <c r="G1340" s="6" t="s">
        <v>4526</v>
      </c>
      <c r="H1340" s="6" t="s">
        <v>4527</v>
      </c>
      <c r="I1340" s="6" t="s">
        <v>4528</v>
      </c>
      <c r="J1340" s="6" t="s">
        <v>40</v>
      </c>
      <c r="K1340" s="6"/>
      <c r="L1340" s="7" t="s">
        <v>40</v>
      </c>
      <c r="M1340" s="6" t="s">
        <v>76</v>
      </c>
      <c r="N1340" s="6"/>
      <c r="O1340" s="6">
        <f>HYPERLINK("https://docs.wto.org/imrd/directdoc.asp?DDFDocuments/t/G/TBTN23/BDI360A1.DOCX", "https://docs.wto.org/imrd/directdoc.asp?DDFDocuments/t/G/TBTN23/BDI360A1.DOCX")</f>
      </c>
      <c r="P1340" s="6">
        <f>HYPERLINK("https://docs.wto.org/imrd/directdoc.asp?DDFDocuments/u/G/TBTN23/BDI360A1.DOCX", "https://docs.wto.org/imrd/directdoc.asp?DDFDocuments/u/G/TBTN23/BDI360A1.DOCX")</f>
      </c>
      <c r="Q1340" s="6">
        <f>HYPERLINK("https://docs.wto.org/imrd/directdoc.asp?DDFDocuments/v/G/TBTN23/BDI360A1.DOCX", "https://docs.wto.org/imrd/directdoc.asp?DDFDocuments/v/G/TBTN23/BDI360A1.DOCX")</f>
      </c>
    </row>
    <row r="1341">
      <c r="A1341" s="6" t="s">
        <v>2024</v>
      </c>
      <c r="B1341" s="7">
        <v>45476</v>
      </c>
      <c r="C1341" s="6">
        <f>HYPERLINK("https://eping.wto.org/en/Search?viewData= G/TBT/N/BDI/362/Add.1, G/TBT/N/KEN/1442/Add.1, G/TBT/N/RWA/873/Add.1, G/TBT/N/TZA/976/Add.1, G/TBT/N/UGA/1778/Add.1"," G/TBT/N/BDI/362/Add.1, G/TBT/N/KEN/1442/Add.1, G/TBT/N/RWA/873/Add.1, G/TBT/N/TZA/976/Add.1, G/TBT/N/UGA/1778/Add.1")</f>
      </c>
      <c r="D1341" s="8" t="s">
        <v>4482</v>
      </c>
      <c r="E1341" s="8" t="s">
        <v>4483</v>
      </c>
      <c r="F1341" s="8" t="s">
        <v>4484</v>
      </c>
      <c r="G1341" s="6" t="s">
        <v>4485</v>
      </c>
      <c r="H1341" s="6" t="s">
        <v>4486</v>
      </c>
      <c r="I1341" s="6" t="s">
        <v>4490</v>
      </c>
      <c r="J1341" s="6" t="s">
        <v>40</v>
      </c>
      <c r="K1341" s="6"/>
      <c r="L1341" s="7" t="s">
        <v>40</v>
      </c>
      <c r="M1341" s="6" t="s">
        <v>76</v>
      </c>
      <c r="N1341" s="6"/>
      <c r="O1341" s="6">
        <f>HYPERLINK("https://docs.wto.org/imrd/directdoc.asp?DDFDocuments/t/G/TBTN23/BDI362A1.DOCX", "https://docs.wto.org/imrd/directdoc.asp?DDFDocuments/t/G/TBTN23/BDI362A1.DOCX")</f>
      </c>
      <c r="P1341" s="6">
        <f>HYPERLINK("https://docs.wto.org/imrd/directdoc.asp?DDFDocuments/u/G/TBTN23/BDI362A1.DOCX", "https://docs.wto.org/imrd/directdoc.asp?DDFDocuments/u/G/TBTN23/BDI362A1.DOCX")</f>
      </c>
      <c r="Q1341" s="6">
        <f>HYPERLINK("https://docs.wto.org/imrd/directdoc.asp?DDFDocuments/v/G/TBTN23/BDI362A1.DOCX", "https://docs.wto.org/imrd/directdoc.asp?DDFDocuments/v/G/TBTN23/BDI362A1.DOCX")</f>
      </c>
    </row>
    <row r="1342">
      <c r="A1342" s="6" t="s">
        <v>880</v>
      </c>
      <c r="B1342" s="7">
        <v>45476</v>
      </c>
      <c r="C1342" s="6">
        <f>HYPERLINK("https://eping.wto.org/en/Search?viewData= G/TBT/N/BDI/359/Add.1, G/TBT/N/KEN/1439/Add.1, G/TBT/N/RWA/870/Add.1, G/TBT/N/TZA/973/Add.1, G/TBT/N/UGA/1775/Add.1"," G/TBT/N/BDI/359/Add.1, G/TBT/N/KEN/1439/Add.1, G/TBT/N/RWA/870/Add.1, G/TBT/N/TZA/973/Add.1, G/TBT/N/UGA/1775/Add.1")</f>
      </c>
      <c r="D1342" s="8" t="s">
        <v>4529</v>
      </c>
      <c r="E1342" s="8" t="s">
        <v>4530</v>
      </c>
      <c r="F1342" s="8" t="s">
        <v>4531</v>
      </c>
      <c r="G1342" s="6" t="s">
        <v>4532</v>
      </c>
      <c r="H1342" s="6" t="s">
        <v>4527</v>
      </c>
      <c r="I1342" s="6" t="s">
        <v>4533</v>
      </c>
      <c r="J1342" s="6" t="s">
        <v>40</v>
      </c>
      <c r="K1342" s="6"/>
      <c r="L1342" s="7" t="s">
        <v>40</v>
      </c>
      <c r="M1342" s="6" t="s">
        <v>76</v>
      </c>
      <c r="N1342" s="6"/>
      <c r="O1342" s="6">
        <f>HYPERLINK("https://docs.wto.org/imrd/directdoc.asp?DDFDocuments/t/G/TBTN23/BDI359A1.DOCX", "https://docs.wto.org/imrd/directdoc.asp?DDFDocuments/t/G/TBTN23/BDI359A1.DOCX")</f>
      </c>
      <c r="P1342" s="6">
        <f>HYPERLINK("https://docs.wto.org/imrd/directdoc.asp?DDFDocuments/u/G/TBTN23/BDI359A1.DOCX", "https://docs.wto.org/imrd/directdoc.asp?DDFDocuments/u/G/TBTN23/BDI359A1.DOCX")</f>
      </c>
      <c r="Q1342" s="6">
        <f>HYPERLINK("https://docs.wto.org/imrd/directdoc.asp?DDFDocuments/v/G/TBTN23/BDI359A1.DOCX", "https://docs.wto.org/imrd/directdoc.asp?DDFDocuments/v/G/TBTN23/BDI359A1.DOCX")</f>
      </c>
    </row>
    <row r="1343">
      <c r="A1343" s="6" t="s">
        <v>17</v>
      </c>
      <c r="B1343" s="7">
        <v>45476</v>
      </c>
      <c r="C1343" s="6">
        <f>HYPERLINK("https://eping.wto.org/en/Search?viewData= G/TBT/N/BDI/341/Add.1, G/TBT/N/KEN/1404/Add.1, G/TBT/N/RWA/848/Add.1, G/TBT/N/TZA/927/Add.1, G/TBT/N/UGA/1756/Add.1"," G/TBT/N/BDI/341/Add.1, G/TBT/N/KEN/1404/Add.1, G/TBT/N/RWA/848/Add.1, G/TBT/N/TZA/927/Add.1, G/TBT/N/UGA/1756/Add.1")</f>
      </c>
      <c r="D1343" s="8" t="s">
        <v>4534</v>
      </c>
      <c r="E1343" s="8" t="s">
        <v>4535</v>
      </c>
      <c r="F1343" s="8" t="s">
        <v>4536</v>
      </c>
      <c r="G1343" s="6" t="s">
        <v>4537</v>
      </c>
      <c r="H1343" s="6" t="s">
        <v>4538</v>
      </c>
      <c r="I1343" s="6" t="s">
        <v>4496</v>
      </c>
      <c r="J1343" s="6" t="s">
        <v>40</v>
      </c>
      <c r="K1343" s="6"/>
      <c r="L1343" s="7" t="s">
        <v>40</v>
      </c>
      <c r="M1343" s="6" t="s">
        <v>76</v>
      </c>
      <c r="N1343" s="6"/>
      <c r="O1343" s="6">
        <f>HYPERLINK("https://docs.wto.org/imrd/directdoc.asp?DDFDocuments/t/G/TBTN23/BDI341A1.DOCX", "https://docs.wto.org/imrd/directdoc.asp?DDFDocuments/t/G/TBTN23/BDI341A1.DOCX")</f>
      </c>
      <c r="P1343" s="6">
        <f>HYPERLINK("https://docs.wto.org/imrd/directdoc.asp?DDFDocuments/u/G/TBTN23/BDI341A1.DOCX", "https://docs.wto.org/imrd/directdoc.asp?DDFDocuments/u/G/TBTN23/BDI341A1.DOCX")</f>
      </c>
      <c r="Q1343" s="6">
        <f>HYPERLINK("https://docs.wto.org/imrd/directdoc.asp?DDFDocuments/v/G/TBTN23/BDI341A1.DOCX", "https://docs.wto.org/imrd/directdoc.asp?DDFDocuments/v/G/TBTN23/BDI341A1.DOCX")</f>
      </c>
    </row>
    <row r="1344">
      <c r="A1344" s="6" t="s">
        <v>2024</v>
      </c>
      <c r="B1344" s="7">
        <v>45476</v>
      </c>
      <c r="C1344" s="6">
        <f>HYPERLINK("https://eping.wto.org/en/Search?viewData= G/TBT/N/BDI/343/Add.1, G/TBT/N/KEN/1411/Add.1, G/TBT/N/RWA/850/Add.1, G/TBT/N/TZA/933/Add.1, G/TBT/N/UGA/1759/Add.1"," G/TBT/N/BDI/343/Add.1, G/TBT/N/KEN/1411/Add.1, G/TBT/N/RWA/850/Add.1, G/TBT/N/TZA/933/Add.1, G/TBT/N/UGA/1759/Add.1")</f>
      </c>
      <c r="D1344" s="8" t="s">
        <v>4539</v>
      </c>
      <c r="E1344" s="8" t="s">
        <v>4540</v>
      </c>
      <c r="F1344" s="8" t="s">
        <v>4541</v>
      </c>
      <c r="G1344" s="6" t="s">
        <v>4542</v>
      </c>
      <c r="H1344" s="6" t="s">
        <v>4543</v>
      </c>
      <c r="I1344" s="6" t="s">
        <v>4544</v>
      </c>
      <c r="J1344" s="6" t="s">
        <v>40</v>
      </c>
      <c r="K1344" s="6"/>
      <c r="L1344" s="7" t="s">
        <v>40</v>
      </c>
      <c r="M1344" s="6" t="s">
        <v>76</v>
      </c>
      <c r="N1344" s="6"/>
      <c r="O1344" s="6">
        <f>HYPERLINK("https://docs.wto.org/imrd/directdoc.asp?DDFDocuments/t/G/TBTN23/BDI343A1.DOCX", "https://docs.wto.org/imrd/directdoc.asp?DDFDocuments/t/G/TBTN23/BDI343A1.DOCX")</f>
      </c>
      <c r="P1344" s="6">
        <f>HYPERLINK("https://docs.wto.org/imrd/directdoc.asp?DDFDocuments/u/G/TBTN23/BDI343A1.DOCX", "https://docs.wto.org/imrd/directdoc.asp?DDFDocuments/u/G/TBTN23/BDI343A1.DOCX")</f>
      </c>
      <c r="Q1344" s="6">
        <f>HYPERLINK("https://docs.wto.org/imrd/directdoc.asp?DDFDocuments/v/G/TBTN23/BDI343A1.DOCX", "https://docs.wto.org/imrd/directdoc.asp?DDFDocuments/v/G/TBTN23/BDI343A1.DOCX")</f>
      </c>
    </row>
    <row r="1345">
      <c r="A1345" s="6" t="s">
        <v>2024</v>
      </c>
      <c r="B1345" s="7">
        <v>45476</v>
      </c>
      <c r="C1345" s="6">
        <f>HYPERLINK("https://eping.wto.org/en/Search?viewData= G/TBT/N/BDI/366/Add.1, G/TBT/N/KEN/1446/Add.1, G/TBT/N/RWA/877/Add.1, G/TBT/N/TZA/980/Add.1, G/TBT/N/UGA/1783/Add.1"," G/TBT/N/BDI/366/Add.1, G/TBT/N/KEN/1446/Add.1, G/TBT/N/RWA/877/Add.1, G/TBT/N/TZA/980/Add.1, G/TBT/N/UGA/1783/Add.1")</f>
      </c>
      <c r="D1345" s="8" t="s">
        <v>4497</v>
      </c>
      <c r="E1345" s="8" t="s">
        <v>4498</v>
      </c>
      <c r="F1345" s="8" t="s">
        <v>4499</v>
      </c>
      <c r="G1345" s="6" t="s">
        <v>1118</v>
      </c>
      <c r="H1345" s="6" t="s">
        <v>208</v>
      </c>
      <c r="I1345" s="6" t="s">
        <v>4500</v>
      </c>
      <c r="J1345" s="6" t="s">
        <v>40</v>
      </c>
      <c r="K1345" s="6"/>
      <c r="L1345" s="7" t="s">
        <v>40</v>
      </c>
      <c r="M1345" s="6" t="s">
        <v>76</v>
      </c>
      <c r="N1345" s="6"/>
      <c r="O1345" s="6">
        <f>HYPERLINK("https://docs.wto.org/imrd/directdoc.asp?DDFDocuments/t/G/TBTN23/BDI366A1.DOCX", "https://docs.wto.org/imrd/directdoc.asp?DDFDocuments/t/G/TBTN23/BDI366A1.DOCX")</f>
      </c>
      <c r="P1345" s="6">
        <f>HYPERLINK("https://docs.wto.org/imrd/directdoc.asp?DDFDocuments/u/G/TBTN23/BDI366A1.DOCX", "https://docs.wto.org/imrd/directdoc.asp?DDFDocuments/u/G/TBTN23/BDI366A1.DOCX")</f>
      </c>
      <c r="Q1345" s="6">
        <f>HYPERLINK("https://docs.wto.org/imrd/directdoc.asp?DDFDocuments/v/G/TBTN23/BDI366A1.DOCX", "https://docs.wto.org/imrd/directdoc.asp?DDFDocuments/v/G/TBTN23/BDI366A1.DOCX")</f>
      </c>
    </row>
    <row r="1346">
      <c r="A1346" s="6" t="s">
        <v>17</v>
      </c>
      <c r="B1346" s="7">
        <v>45476</v>
      </c>
      <c r="C1346" s="6">
        <f>HYPERLINK("https://eping.wto.org/en/Search?viewData= G/TBT/N/BDI/367/Add.1, G/TBT/N/KEN/1447/Add.1, G/TBT/N/RWA/878/Add.1, G/TBT/N/TZA/981/Add.1, G/TBT/N/UGA/1784/Add.1"," G/TBT/N/BDI/367/Add.1, G/TBT/N/KEN/1447/Add.1, G/TBT/N/RWA/878/Add.1, G/TBT/N/TZA/981/Add.1, G/TBT/N/UGA/1784/Add.1")</f>
      </c>
      <c r="D1346" s="8" t="s">
        <v>4545</v>
      </c>
      <c r="E1346" s="8" t="s">
        <v>4546</v>
      </c>
      <c r="F1346" s="8" t="s">
        <v>4547</v>
      </c>
      <c r="G1346" s="6" t="s">
        <v>4548</v>
      </c>
      <c r="H1346" s="6" t="s">
        <v>208</v>
      </c>
      <c r="I1346" s="6" t="s">
        <v>4487</v>
      </c>
      <c r="J1346" s="6" t="s">
        <v>40</v>
      </c>
      <c r="K1346" s="6"/>
      <c r="L1346" s="7" t="s">
        <v>40</v>
      </c>
      <c r="M1346" s="6" t="s">
        <v>76</v>
      </c>
      <c r="N1346" s="6"/>
      <c r="O1346" s="6">
        <f>HYPERLINK("https://docs.wto.org/imrd/directdoc.asp?DDFDocuments/t/G/TBTN23/BDI367A1.DOCX", "https://docs.wto.org/imrd/directdoc.asp?DDFDocuments/t/G/TBTN23/BDI367A1.DOCX")</f>
      </c>
      <c r="P1346" s="6">
        <f>HYPERLINK("https://docs.wto.org/imrd/directdoc.asp?DDFDocuments/u/G/TBTN23/BDI367A1.DOCX", "https://docs.wto.org/imrd/directdoc.asp?DDFDocuments/u/G/TBTN23/BDI367A1.DOCX")</f>
      </c>
      <c r="Q1346" s="6">
        <f>HYPERLINK("https://docs.wto.org/imrd/directdoc.asp?DDFDocuments/v/G/TBTN23/BDI367A1.DOCX", "https://docs.wto.org/imrd/directdoc.asp?DDFDocuments/v/G/TBTN23/BDI367A1.DOCX")</f>
      </c>
    </row>
    <row r="1347">
      <c r="A1347" s="6" t="s">
        <v>880</v>
      </c>
      <c r="B1347" s="7">
        <v>45476</v>
      </c>
      <c r="C1347" s="6">
        <f>HYPERLINK("https://eping.wto.org/en/Search?viewData= G/TBT/N/BDI/367/Add.1, G/TBT/N/KEN/1447/Add.1, G/TBT/N/RWA/878/Add.1, G/TBT/N/TZA/981/Add.1, G/TBT/N/UGA/1784/Add.1"," G/TBT/N/BDI/367/Add.1, G/TBT/N/KEN/1447/Add.1, G/TBT/N/RWA/878/Add.1, G/TBT/N/TZA/981/Add.1, G/TBT/N/UGA/1784/Add.1")</f>
      </c>
      <c r="D1347" s="8" t="s">
        <v>4545</v>
      </c>
      <c r="E1347" s="8" t="s">
        <v>4546</v>
      </c>
      <c r="F1347" s="8" t="s">
        <v>4547</v>
      </c>
      <c r="G1347" s="6" t="s">
        <v>4548</v>
      </c>
      <c r="H1347" s="6" t="s">
        <v>208</v>
      </c>
      <c r="I1347" s="6" t="s">
        <v>4487</v>
      </c>
      <c r="J1347" s="6" t="s">
        <v>40</v>
      </c>
      <c r="K1347" s="6"/>
      <c r="L1347" s="7" t="s">
        <v>40</v>
      </c>
      <c r="M1347" s="6" t="s">
        <v>76</v>
      </c>
      <c r="N1347" s="6"/>
      <c r="O1347" s="6">
        <f>HYPERLINK("https://docs.wto.org/imrd/directdoc.asp?DDFDocuments/t/G/TBTN23/BDI367A1.DOCX", "https://docs.wto.org/imrd/directdoc.asp?DDFDocuments/t/G/TBTN23/BDI367A1.DOCX")</f>
      </c>
      <c r="P1347" s="6">
        <f>HYPERLINK("https://docs.wto.org/imrd/directdoc.asp?DDFDocuments/u/G/TBTN23/BDI367A1.DOCX", "https://docs.wto.org/imrd/directdoc.asp?DDFDocuments/u/G/TBTN23/BDI367A1.DOCX")</f>
      </c>
      <c r="Q1347" s="6">
        <f>HYPERLINK("https://docs.wto.org/imrd/directdoc.asp?DDFDocuments/v/G/TBTN23/BDI367A1.DOCX", "https://docs.wto.org/imrd/directdoc.asp?DDFDocuments/v/G/TBTN23/BDI367A1.DOCX")</f>
      </c>
    </row>
    <row r="1348">
      <c r="A1348" s="6" t="s">
        <v>2024</v>
      </c>
      <c r="B1348" s="7">
        <v>45476</v>
      </c>
      <c r="C1348" s="6">
        <f>HYPERLINK("https://eping.wto.org/en/Search?viewData= G/TBT/N/BDI/363/Add.1, G/TBT/N/KEN/1443/Add.1, G/TBT/N/RWA/874/Add.1, G/TBT/N/TZA/977/Add.1, G/TBT/N/UGA/1780/Add.1"," G/TBT/N/BDI/363/Add.1, G/TBT/N/KEN/1443/Add.1, G/TBT/N/RWA/874/Add.1, G/TBT/N/TZA/977/Add.1, G/TBT/N/UGA/1780/Add.1")</f>
      </c>
      <c r="D1348" s="8" t="s">
        <v>4549</v>
      </c>
      <c r="E1348" s="8" t="s">
        <v>4550</v>
      </c>
      <c r="F1348" s="8" t="s">
        <v>4551</v>
      </c>
      <c r="G1348" s="6" t="s">
        <v>4552</v>
      </c>
      <c r="H1348" s="6" t="s">
        <v>4505</v>
      </c>
      <c r="I1348" s="6" t="s">
        <v>3280</v>
      </c>
      <c r="J1348" s="6" t="s">
        <v>40</v>
      </c>
      <c r="K1348" s="6"/>
      <c r="L1348" s="7" t="s">
        <v>40</v>
      </c>
      <c r="M1348" s="6" t="s">
        <v>76</v>
      </c>
      <c r="N1348" s="6"/>
      <c r="O1348" s="6">
        <f>HYPERLINK("https://docs.wto.org/imrd/directdoc.asp?DDFDocuments/t/G/TBTN23/BDI363A1.DOCX", "https://docs.wto.org/imrd/directdoc.asp?DDFDocuments/t/G/TBTN23/BDI363A1.DOCX")</f>
      </c>
      <c r="P1348" s="6">
        <f>HYPERLINK("https://docs.wto.org/imrd/directdoc.asp?DDFDocuments/u/G/TBTN23/BDI363A1.DOCX", "https://docs.wto.org/imrd/directdoc.asp?DDFDocuments/u/G/TBTN23/BDI363A1.DOCX")</f>
      </c>
      <c r="Q1348" s="6">
        <f>HYPERLINK("https://docs.wto.org/imrd/directdoc.asp?DDFDocuments/v/G/TBTN23/BDI363A1.DOCX", "https://docs.wto.org/imrd/directdoc.asp?DDFDocuments/v/G/TBTN23/BDI363A1.DOCX")</f>
      </c>
    </row>
    <row r="1349">
      <c r="A1349" s="6" t="s">
        <v>17</v>
      </c>
      <c r="B1349" s="7">
        <v>45476</v>
      </c>
      <c r="C1349" s="6">
        <f>HYPERLINK("https://eping.wto.org/en/Search?viewData= G/TBT/N/BDI/304/Add.1, G/TBT/N/KEN/1346/Add.1, G/TBT/N/RWA/745/Add.1, G/TBT/N/TZA/868/Add.1, G/TBT/N/UGA/1713/Add.1"," G/TBT/N/BDI/304/Add.1, G/TBT/N/KEN/1346/Add.1, G/TBT/N/RWA/745/Add.1, G/TBT/N/TZA/868/Add.1, G/TBT/N/UGA/1713/Add.1")</f>
      </c>
      <c r="D1349" s="8" t="s">
        <v>4553</v>
      </c>
      <c r="E1349" s="8" t="s">
        <v>4554</v>
      </c>
      <c r="F1349" s="8" t="s">
        <v>4512</v>
      </c>
      <c r="G1349" s="6" t="s">
        <v>3363</v>
      </c>
      <c r="H1349" s="6" t="s">
        <v>3364</v>
      </c>
      <c r="I1349" s="6" t="s">
        <v>4555</v>
      </c>
      <c r="J1349" s="6" t="s">
        <v>40</v>
      </c>
      <c r="K1349" s="6"/>
      <c r="L1349" s="7" t="s">
        <v>40</v>
      </c>
      <c r="M1349" s="6" t="s">
        <v>76</v>
      </c>
      <c r="N1349" s="6"/>
      <c r="O1349" s="6">
        <f>HYPERLINK("https://docs.wto.org/imrd/directdoc.asp?DDFDocuments/t/G/TBTN22/BDI304A1.DOCX", "https://docs.wto.org/imrd/directdoc.asp?DDFDocuments/t/G/TBTN22/BDI304A1.DOCX")</f>
      </c>
      <c r="P1349" s="6">
        <f>HYPERLINK("https://docs.wto.org/imrd/directdoc.asp?DDFDocuments/u/G/TBTN22/BDI304A1.DOCX", "https://docs.wto.org/imrd/directdoc.asp?DDFDocuments/u/G/TBTN22/BDI304A1.DOCX")</f>
      </c>
      <c r="Q1349" s="6">
        <f>HYPERLINK("https://docs.wto.org/imrd/directdoc.asp?DDFDocuments/v/G/TBTN22/BDI304A1.DOCX", "https://docs.wto.org/imrd/directdoc.asp?DDFDocuments/v/G/TBTN22/BDI304A1.DOCX")</f>
      </c>
    </row>
    <row r="1350">
      <c r="A1350" s="6" t="s">
        <v>2030</v>
      </c>
      <c r="B1350" s="7">
        <v>45476</v>
      </c>
      <c r="C1350" s="6">
        <f>HYPERLINK("https://eping.wto.org/en/Search?viewData= G/TBT/N/BDI/304/Add.1, G/TBT/N/KEN/1346/Add.1, G/TBT/N/RWA/745/Add.1, G/TBT/N/TZA/868/Add.1, G/TBT/N/UGA/1713/Add.1"," G/TBT/N/BDI/304/Add.1, G/TBT/N/KEN/1346/Add.1, G/TBT/N/RWA/745/Add.1, G/TBT/N/TZA/868/Add.1, G/TBT/N/UGA/1713/Add.1")</f>
      </c>
      <c r="D1350" s="8" t="s">
        <v>4553</v>
      </c>
      <c r="E1350" s="8" t="s">
        <v>4554</v>
      </c>
      <c r="F1350" s="8" t="s">
        <v>4512</v>
      </c>
      <c r="G1350" s="6" t="s">
        <v>3363</v>
      </c>
      <c r="H1350" s="6" t="s">
        <v>3364</v>
      </c>
      <c r="I1350" s="6" t="s">
        <v>134</v>
      </c>
      <c r="J1350" s="6" t="s">
        <v>40</v>
      </c>
      <c r="K1350" s="6"/>
      <c r="L1350" s="7" t="s">
        <v>40</v>
      </c>
      <c r="M1350" s="6" t="s">
        <v>76</v>
      </c>
      <c r="N1350" s="6"/>
      <c r="O1350" s="6">
        <f>HYPERLINK("https://docs.wto.org/imrd/directdoc.asp?DDFDocuments/t/G/TBTN22/BDI304A1.DOCX", "https://docs.wto.org/imrd/directdoc.asp?DDFDocuments/t/G/TBTN22/BDI304A1.DOCX")</f>
      </c>
      <c r="P1350" s="6">
        <f>HYPERLINK("https://docs.wto.org/imrd/directdoc.asp?DDFDocuments/u/G/TBTN22/BDI304A1.DOCX", "https://docs.wto.org/imrd/directdoc.asp?DDFDocuments/u/G/TBTN22/BDI304A1.DOCX")</f>
      </c>
      <c r="Q1350" s="6">
        <f>HYPERLINK("https://docs.wto.org/imrd/directdoc.asp?DDFDocuments/v/G/TBTN22/BDI304A1.DOCX", "https://docs.wto.org/imrd/directdoc.asp?DDFDocuments/v/G/TBTN22/BDI304A1.DOCX")</f>
      </c>
    </row>
    <row r="1351">
      <c r="A1351" s="6" t="s">
        <v>2030</v>
      </c>
      <c r="B1351" s="7">
        <v>45476</v>
      </c>
      <c r="C1351" s="6">
        <f>HYPERLINK("https://eping.wto.org/en/Search?viewData= G/TBT/N/BDI/329/Add.1, G/TBT/N/KEN/1391/Add.1, G/TBT/N/RWA/836/Add.1, G/TBT/N/TZA/915/Add.1, G/TBT/N/UGA/1744/Add.1"," G/TBT/N/BDI/329/Add.1, G/TBT/N/KEN/1391/Add.1, G/TBT/N/RWA/836/Add.1, G/TBT/N/TZA/915/Add.1, G/TBT/N/UGA/1744/Add.1")</f>
      </c>
      <c r="D1351" s="8" t="s">
        <v>4327</v>
      </c>
      <c r="E1351" s="8" t="s">
        <v>4521</v>
      </c>
      <c r="F1351" s="8" t="s">
        <v>4325</v>
      </c>
      <c r="G1351" s="6" t="s">
        <v>4326</v>
      </c>
      <c r="H1351" s="6" t="s">
        <v>320</v>
      </c>
      <c r="I1351" s="6" t="s">
        <v>4481</v>
      </c>
      <c r="J1351" s="6" t="s">
        <v>122</v>
      </c>
      <c r="K1351" s="6"/>
      <c r="L1351" s="7" t="s">
        <v>40</v>
      </c>
      <c r="M1351" s="6" t="s">
        <v>76</v>
      </c>
      <c r="N1351" s="6"/>
      <c r="O1351" s="6">
        <f>HYPERLINK("https://docs.wto.org/imrd/directdoc.asp?DDFDocuments/t/G/TBTN23/BDI329A1.DOCX", "https://docs.wto.org/imrd/directdoc.asp?DDFDocuments/t/G/TBTN23/BDI329A1.DOCX")</f>
      </c>
      <c r="P1351" s="6">
        <f>HYPERLINK("https://docs.wto.org/imrd/directdoc.asp?DDFDocuments/u/G/TBTN23/BDI329A1.DOCX", "https://docs.wto.org/imrd/directdoc.asp?DDFDocuments/u/G/TBTN23/BDI329A1.DOCX")</f>
      </c>
      <c r="Q1351" s="6">
        <f>HYPERLINK("https://docs.wto.org/imrd/directdoc.asp?DDFDocuments/v/G/TBTN23/BDI329A1.DOCX", "https://docs.wto.org/imrd/directdoc.asp?DDFDocuments/v/G/TBTN23/BDI329A1.DOCX")</f>
      </c>
    </row>
    <row r="1352">
      <c r="A1352" s="6" t="s">
        <v>2030</v>
      </c>
      <c r="B1352" s="7">
        <v>45476</v>
      </c>
      <c r="C1352" s="6">
        <f>HYPERLINK("https://eping.wto.org/en/Search?viewData= G/TBT/N/BDI/343/Add.1, G/TBT/N/KEN/1411/Add.1, G/TBT/N/RWA/850/Add.1, G/TBT/N/TZA/933/Add.1, G/TBT/N/UGA/1759/Add.1"," G/TBT/N/BDI/343/Add.1, G/TBT/N/KEN/1411/Add.1, G/TBT/N/RWA/850/Add.1, G/TBT/N/TZA/933/Add.1, G/TBT/N/UGA/1759/Add.1")</f>
      </c>
      <c r="D1352" s="8" t="s">
        <v>4539</v>
      </c>
      <c r="E1352" s="8" t="s">
        <v>4540</v>
      </c>
      <c r="F1352" s="8" t="s">
        <v>4541</v>
      </c>
      <c r="G1352" s="6" t="s">
        <v>4542</v>
      </c>
      <c r="H1352" s="6" t="s">
        <v>4543</v>
      </c>
      <c r="I1352" s="6" t="s">
        <v>4520</v>
      </c>
      <c r="J1352" s="6" t="s">
        <v>40</v>
      </c>
      <c r="K1352" s="6"/>
      <c r="L1352" s="7" t="s">
        <v>40</v>
      </c>
      <c r="M1352" s="6" t="s">
        <v>76</v>
      </c>
      <c r="N1352" s="6"/>
      <c r="O1352" s="6">
        <f>HYPERLINK("https://docs.wto.org/imrd/directdoc.asp?DDFDocuments/t/G/TBTN23/BDI343A1.DOCX", "https://docs.wto.org/imrd/directdoc.asp?DDFDocuments/t/G/TBTN23/BDI343A1.DOCX")</f>
      </c>
      <c r="P1352" s="6">
        <f>HYPERLINK("https://docs.wto.org/imrd/directdoc.asp?DDFDocuments/u/G/TBTN23/BDI343A1.DOCX", "https://docs.wto.org/imrd/directdoc.asp?DDFDocuments/u/G/TBTN23/BDI343A1.DOCX")</f>
      </c>
      <c r="Q1352" s="6">
        <f>HYPERLINK("https://docs.wto.org/imrd/directdoc.asp?DDFDocuments/v/G/TBTN23/BDI343A1.DOCX", "https://docs.wto.org/imrd/directdoc.asp?DDFDocuments/v/G/TBTN23/BDI343A1.DOCX")</f>
      </c>
    </row>
    <row r="1353">
      <c r="A1353" s="6" t="s">
        <v>17</v>
      </c>
      <c r="B1353" s="7">
        <v>45476</v>
      </c>
      <c r="C1353" s="6">
        <f>HYPERLINK("https://eping.wto.org/en/Search?viewData= G/TBT/N/BDI/337/Add.1, G/TBT/N/KEN/1399/Add.1, G/TBT/N/RWA/844/Add.1, G/TBT/N/TZA/923/Add.1, G/TBT/N/UGA/1752/Add.1"," G/TBT/N/BDI/337/Add.1, G/TBT/N/KEN/1399/Add.1, G/TBT/N/RWA/844/Add.1, G/TBT/N/TZA/923/Add.1, G/TBT/N/UGA/1752/Add.1")</f>
      </c>
      <c r="D1353" s="8" t="s">
        <v>4474</v>
      </c>
      <c r="E1353" s="8" t="s">
        <v>4475</v>
      </c>
      <c r="F1353" s="8" t="s">
        <v>4298</v>
      </c>
      <c r="G1353" s="6" t="s">
        <v>4299</v>
      </c>
      <c r="H1353" s="6" t="s">
        <v>3048</v>
      </c>
      <c r="I1353" s="6" t="s">
        <v>4556</v>
      </c>
      <c r="J1353" s="6" t="s">
        <v>3826</v>
      </c>
      <c r="K1353" s="6"/>
      <c r="L1353" s="7" t="s">
        <v>40</v>
      </c>
      <c r="M1353" s="6" t="s">
        <v>76</v>
      </c>
      <c r="N1353" s="6"/>
      <c r="O1353" s="6">
        <f>HYPERLINK("https://docs.wto.org/imrd/directdoc.asp?DDFDocuments/t/G/TBTN23/BDI337A1.DOCX", "https://docs.wto.org/imrd/directdoc.asp?DDFDocuments/t/G/TBTN23/BDI337A1.DOCX")</f>
      </c>
      <c r="P1353" s="6">
        <f>HYPERLINK("https://docs.wto.org/imrd/directdoc.asp?DDFDocuments/u/G/TBTN23/BDI337A1.DOCX", "https://docs.wto.org/imrd/directdoc.asp?DDFDocuments/u/G/TBTN23/BDI337A1.DOCX")</f>
      </c>
      <c r="Q1353" s="6">
        <f>HYPERLINK("https://docs.wto.org/imrd/directdoc.asp?DDFDocuments/v/G/TBTN23/BDI337A1.DOCX", "https://docs.wto.org/imrd/directdoc.asp?DDFDocuments/v/G/TBTN23/BDI337A1.DOCX")</f>
      </c>
    </row>
    <row r="1354">
      <c r="A1354" s="6" t="s">
        <v>2041</v>
      </c>
      <c r="B1354" s="7">
        <v>45476</v>
      </c>
      <c r="C1354" s="6">
        <f>HYPERLINK("https://eping.wto.org/en/Search?viewData= G/TBT/N/BDI/338/Add.1, G/TBT/N/KEN/1400/Add.1, G/TBT/N/RWA/845/Add.1, G/TBT/N/TZA/924/Add.1, G/TBT/N/UGA/1753/Add.1"," G/TBT/N/BDI/338/Add.1, G/TBT/N/KEN/1400/Add.1, G/TBT/N/RWA/845/Add.1, G/TBT/N/TZA/924/Add.1, G/TBT/N/UGA/1753/Add.1")</f>
      </c>
      <c r="D1354" s="8" t="s">
        <v>4557</v>
      </c>
      <c r="E1354" s="8" t="s">
        <v>4558</v>
      </c>
      <c r="F1354" s="8" t="s">
        <v>4298</v>
      </c>
      <c r="G1354" s="6" t="s">
        <v>4299</v>
      </c>
      <c r="H1354" s="6" t="s">
        <v>3048</v>
      </c>
      <c r="I1354" s="6" t="s">
        <v>4522</v>
      </c>
      <c r="J1354" s="6" t="s">
        <v>4559</v>
      </c>
      <c r="K1354" s="6"/>
      <c r="L1354" s="7" t="s">
        <v>40</v>
      </c>
      <c r="M1354" s="6" t="s">
        <v>76</v>
      </c>
      <c r="N1354" s="6"/>
      <c r="O1354" s="6">
        <f>HYPERLINK("https://docs.wto.org/imrd/directdoc.asp?DDFDocuments/t/G/TBTN23/BDI338A1.DOCX", "https://docs.wto.org/imrd/directdoc.asp?DDFDocuments/t/G/TBTN23/BDI338A1.DOCX")</f>
      </c>
      <c r="P1354" s="6">
        <f>HYPERLINK("https://docs.wto.org/imrd/directdoc.asp?DDFDocuments/u/G/TBTN23/BDI338A1.DOCX", "https://docs.wto.org/imrd/directdoc.asp?DDFDocuments/u/G/TBTN23/BDI338A1.DOCX")</f>
      </c>
      <c r="Q1354" s="6">
        <f>HYPERLINK("https://docs.wto.org/imrd/directdoc.asp?DDFDocuments/v/G/TBTN23/BDI338A1.DOCX", "https://docs.wto.org/imrd/directdoc.asp?DDFDocuments/v/G/TBTN23/BDI338A1.DOCX")</f>
      </c>
    </row>
    <row r="1355">
      <c r="A1355" s="6" t="s">
        <v>2041</v>
      </c>
      <c r="B1355" s="7">
        <v>45476</v>
      </c>
      <c r="C1355" s="6">
        <f>HYPERLINK("https://eping.wto.org/en/Search?viewData= G/TBT/N/BDI/359/Add.1, G/TBT/N/KEN/1439/Add.1, G/TBT/N/RWA/870/Add.1, G/TBT/N/TZA/973/Add.1, G/TBT/N/UGA/1775/Add.1"," G/TBT/N/BDI/359/Add.1, G/TBT/N/KEN/1439/Add.1, G/TBT/N/RWA/870/Add.1, G/TBT/N/TZA/973/Add.1, G/TBT/N/UGA/1775/Add.1")</f>
      </c>
      <c r="D1355" s="8" t="s">
        <v>4529</v>
      </c>
      <c r="E1355" s="8" t="s">
        <v>4530</v>
      </c>
      <c r="F1355" s="8" t="s">
        <v>4531</v>
      </c>
      <c r="G1355" s="6" t="s">
        <v>4532</v>
      </c>
      <c r="H1355" s="6" t="s">
        <v>4527</v>
      </c>
      <c r="I1355" s="6" t="s">
        <v>4533</v>
      </c>
      <c r="J1355" s="6" t="s">
        <v>40</v>
      </c>
      <c r="K1355" s="6"/>
      <c r="L1355" s="7" t="s">
        <v>40</v>
      </c>
      <c r="M1355" s="6" t="s">
        <v>76</v>
      </c>
      <c r="N1355" s="6"/>
      <c r="O1355" s="6">
        <f>HYPERLINK("https://docs.wto.org/imrd/directdoc.asp?DDFDocuments/t/G/TBTN23/BDI359A1.DOCX", "https://docs.wto.org/imrd/directdoc.asp?DDFDocuments/t/G/TBTN23/BDI359A1.DOCX")</f>
      </c>
      <c r="P1355" s="6">
        <f>HYPERLINK("https://docs.wto.org/imrd/directdoc.asp?DDFDocuments/u/G/TBTN23/BDI359A1.DOCX", "https://docs.wto.org/imrd/directdoc.asp?DDFDocuments/u/G/TBTN23/BDI359A1.DOCX")</f>
      </c>
      <c r="Q1355" s="6">
        <f>HYPERLINK("https://docs.wto.org/imrd/directdoc.asp?DDFDocuments/v/G/TBTN23/BDI359A1.DOCX", "https://docs.wto.org/imrd/directdoc.asp?DDFDocuments/v/G/TBTN23/BDI359A1.DOCX")</f>
      </c>
    </row>
    <row r="1356">
      <c r="A1356" s="6" t="s">
        <v>880</v>
      </c>
      <c r="B1356" s="7">
        <v>45476</v>
      </c>
      <c r="C1356" s="6">
        <f>HYPERLINK("https://eping.wto.org/en/Search?viewData= G/TBT/N/BDI/340/Add.1, G/TBT/N/KEN/1403/Add.1, G/TBT/N/RWA/847/Add.1, G/TBT/N/TZA/926/Add.1, G/TBT/N/UGA/1755/Add.1"," G/TBT/N/BDI/340/Add.1, G/TBT/N/KEN/1403/Add.1, G/TBT/N/RWA/847/Add.1, G/TBT/N/TZA/926/Add.1, G/TBT/N/UGA/1755/Add.1")</f>
      </c>
      <c r="D1356" s="8" t="s">
        <v>4491</v>
      </c>
      <c r="E1356" s="8" t="s">
        <v>4492</v>
      </c>
      <c r="F1356" s="8" t="s">
        <v>4493</v>
      </c>
      <c r="G1356" s="6" t="s">
        <v>4494</v>
      </c>
      <c r="H1356" s="6" t="s">
        <v>4495</v>
      </c>
      <c r="I1356" s="6" t="s">
        <v>4496</v>
      </c>
      <c r="J1356" s="6" t="s">
        <v>40</v>
      </c>
      <c r="K1356" s="6"/>
      <c r="L1356" s="7" t="s">
        <v>40</v>
      </c>
      <c r="M1356" s="6" t="s">
        <v>76</v>
      </c>
      <c r="N1356" s="6"/>
      <c r="O1356" s="6">
        <f>HYPERLINK("https://docs.wto.org/imrd/directdoc.asp?DDFDocuments/t/G/TBTN23/BDI340A1.DOCX", "https://docs.wto.org/imrd/directdoc.asp?DDFDocuments/t/G/TBTN23/BDI340A1.DOCX")</f>
      </c>
      <c r="P1356" s="6">
        <f>HYPERLINK("https://docs.wto.org/imrd/directdoc.asp?DDFDocuments/u/G/TBTN23/BDI340A1.DOCX", "https://docs.wto.org/imrd/directdoc.asp?DDFDocuments/u/G/TBTN23/BDI340A1.DOCX")</f>
      </c>
      <c r="Q1356" s="6">
        <f>HYPERLINK("https://docs.wto.org/imrd/directdoc.asp?DDFDocuments/v/G/TBTN23/BDI340A1.DOCX", "https://docs.wto.org/imrd/directdoc.asp?DDFDocuments/v/G/TBTN23/BDI340A1.DOCX")</f>
      </c>
    </row>
    <row r="1357">
      <c r="A1357" s="6" t="s">
        <v>2024</v>
      </c>
      <c r="B1357" s="7">
        <v>45476</v>
      </c>
      <c r="C1357" s="6">
        <f>HYPERLINK("https://eping.wto.org/en/Search?viewData= G/TBT/N/BDI/341/Add.1, G/TBT/N/KEN/1404/Add.1, G/TBT/N/RWA/848/Add.1, G/TBT/N/TZA/927/Add.1, G/TBT/N/UGA/1756/Add.1"," G/TBT/N/BDI/341/Add.1, G/TBT/N/KEN/1404/Add.1, G/TBT/N/RWA/848/Add.1, G/TBT/N/TZA/927/Add.1, G/TBT/N/UGA/1756/Add.1")</f>
      </c>
      <c r="D1357" s="8" t="s">
        <v>4534</v>
      </c>
      <c r="E1357" s="8" t="s">
        <v>4535</v>
      </c>
      <c r="F1357" s="8" t="s">
        <v>4536</v>
      </c>
      <c r="G1357" s="6" t="s">
        <v>4537</v>
      </c>
      <c r="H1357" s="6" t="s">
        <v>4538</v>
      </c>
      <c r="I1357" s="6" t="s">
        <v>4496</v>
      </c>
      <c r="J1357" s="6" t="s">
        <v>40</v>
      </c>
      <c r="K1357" s="6"/>
      <c r="L1357" s="7" t="s">
        <v>40</v>
      </c>
      <c r="M1357" s="6" t="s">
        <v>76</v>
      </c>
      <c r="N1357" s="6"/>
      <c r="O1357" s="6">
        <f>HYPERLINK("https://docs.wto.org/imrd/directdoc.asp?DDFDocuments/t/G/TBTN23/BDI341A1.DOCX", "https://docs.wto.org/imrd/directdoc.asp?DDFDocuments/t/G/TBTN23/BDI341A1.DOCX")</f>
      </c>
      <c r="P1357" s="6">
        <f>HYPERLINK("https://docs.wto.org/imrd/directdoc.asp?DDFDocuments/u/G/TBTN23/BDI341A1.DOCX", "https://docs.wto.org/imrd/directdoc.asp?DDFDocuments/u/G/TBTN23/BDI341A1.DOCX")</f>
      </c>
      <c r="Q1357" s="6">
        <f>HYPERLINK("https://docs.wto.org/imrd/directdoc.asp?DDFDocuments/v/G/TBTN23/BDI341A1.DOCX", "https://docs.wto.org/imrd/directdoc.asp?DDFDocuments/v/G/TBTN23/BDI341A1.DOCX")</f>
      </c>
    </row>
    <row r="1358">
      <c r="A1358" s="6" t="s">
        <v>880</v>
      </c>
      <c r="B1358" s="7">
        <v>45476</v>
      </c>
      <c r="C1358" s="6">
        <f>HYPERLINK("https://eping.wto.org/en/Search?viewData= G/TBT/N/BDI/341/Add.1, G/TBT/N/KEN/1404/Add.1, G/TBT/N/RWA/848/Add.1, G/TBT/N/TZA/927/Add.1, G/TBT/N/UGA/1756/Add.1"," G/TBT/N/BDI/341/Add.1, G/TBT/N/KEN/1404/Add.1, G/TBT/N/RWA/848/Add.1, G/TBT/N/TZA/927/Add.1, G/TBT/N/UGA/1756/Add.1")</f>
      </c>
      <c r="D1358" s="8" t="s">
        <v>4534</v>
      </c>
      <c r="E1358" s="8" t="s">
        <v>4535</v>
      </c>
      <c r="F1358" s="8" t="s">
        <v>4536</v>
      </c>
      <c r="G1358" s="6" t="s">
        <v>4537</v>
      </c>
      <c r="H1358" s="6" t="s">
        <v>4538</v>
      </c>
      <c r="I1358" s="6" t="s">
        <v>4496</v>
      </c>
      <c r="J1358" s="6" t="s">
        <v>40</v>
      </c>
      <c r="K1358" s="6"/>
      <c r="L1358" s="7" t="s">
        <v>40</v>
      </c>
      <c r="M1358" s="6" t="s">
        <v>76</v>
      </c>
      <c r="N1358" s="6"/>
      <c r="O1358" s="6">
        <f>HYPERLINK("https://docs.wto.org/imrd/directdoc.asp?DDFDocuments/t/G/TBTN23/BDI341A1.DOCX", "https://docs.wto.org/imrd/directdoc.asp?DDFDocuments/t/G/TBTN23/BDI341A1.DOCX")</f>
      </c>
      <c r="P1358" s="6">
        <f>HYPERLINK("https://docs.wto.org/imrd/directdoc.asp?DDFDocuments/u/G/TBTN23/BDI341A1.DOCX", "https://docs.wto.org/imrd/directdoc.asp?DDFDocuments/u/G/TBTN23/BDI341A1.DOCX")</f>
      </c>
      <c r="Q1358" s="6">
        <f>HYPERLINK("https://docs.wto.org/imrd/directdoc.asp?DDFDocuments/v/G/TBTN23/BDI341A1.DOCX", "https://docs.wto.org/imrd/directdoc.asp?DDFDocuments/v/G/TBTN23/BDI341A1.DOCX")</f>
      </c>
    </row>
    <row r="1359">
      <c r="A1359" s="6" t="s">
        <v>880</v>
      </c>
      <c r="B1359" s="7">
        <v>45476</v>
      </c>
      <c r="C1359" s="6">
        <f>HYPERLINK("https://eping.wto.org/en/Search?viewData= G/TBT/N/BDI/366/Add.1, G/TBT/N/KEN/1446/Add.1, G/TBT/N/RWA/877/Add.1, G/TBT/N/TZA/980/Add.1, G/TBT/N/UGA/1783/Add.1"," G/TBT/N/BDI/366/Add.1, G/TBT/N/KEN/1446/Add.1, G/TBT/N/RWA/877/Add.1, G/TBT/N/TZA/980/Add.1, G/TBT/N/UGA/1783/Add.1")</f>
      </c>
      <c r="D1359" s="8" t="s">
        <v>4497</v>
      </c>
      <c r="E1359" s="8" t="s">
        <v>4498</v>
      </c>
      <c r="F1359" s="8" t="s">
        <v>4499</v>
      </c>
      <c r="G1359" s="6" t="s">
        <v>1118</v>
      </c>
      <c r="H1359" s="6" t="s">
        <v>208</v>
      </c>
      <c r="I1359" s="6" t="s">
        <v>4500</v>
      </c>
      <c r="J1359" s="6" t="s">
        <v>40</v>
      </c>
      <c r="K1359" s="6"/>
      <c r="L1359" s="7" t="s">
        <v>40</v>
      </c>
      <c r="M1359" s="6" t="s">
        <v>76</v>
      </c>
      <c r="N1359" s="6"/>
      <c r="O1359" s="6">
        <f>HYPERLINK("https://docs.wto.org/imrd/directdoc.asp?DDFDocuments/t/G/TBTN23/BDI366A1.DOCX", "https://docs.wto.org/imrd/directdoc.asp?DDFDocuments/t/G/TBTN23/BDI366A1.DOCX")</f>
      </c>
      <c r="P1359" s="6">
        <f>HYPERLINK("https://docs.wto.org/imrd/directdoc.asp?DDFDocuments/u/G/TBTN23/BDI366A1.DOCX", "https://docs.wto.org/imrd/directdoc.asp?DDFDocuments/u/G/TBTN23/BDI366A1.DOCX")</f>
      </c>
      <c r="Q1359" s="6">
        <f>HYPERLINK("https://docs.wto.org/imrd/directdoc.asp?DDFDocuments/v/G/TBTN23/BDI366A1.DOCX", "https://docs.wto.org/imrd/directdoc.asp?DDFDocuments/v/G/TBTN23/BDI366A1.DOCX")</f>
      </c>
    </row>
    <row r="1360">
      <c r="A1360" s="6" t="s">
        <v>2024</v>
      </c>
      <c r="B1360" s="7">
        <v>45476</v>
      </c>
      <c r="C1360" s="6">
        <f>HYPERLINK("https://eping.wto.org/en/Search?viewData= G/TBT/N/BDI/368/Add.1, G/TBT/N/KEN/1448/Add.1, G/TBT/N/RWA/879/Add.1, G/TBT/N/TZA/982/Add.1, G/TBT/N/UGA/1785/Add.1"," G/TBT/N/BDI/368/Add.1, G/TBT/N/KEN/1448/Add.1, G/TBT/N/RWA/879/Add.1, G/TBT/N/TZA/982/Add.1, G/TBT/N/UGA/1785/Add.1")</f>
      </c>
      <c r="D1360" s="8" t="s">
        <v>4560</v>
      </c>
      <c r="E1360" s="8" t="s">
        <v>4561</v>
      </c>
      <c r="F1360" s="8" t="s">
        <v>4562</v>
      </c>
      <c r="G1360" s="6" t="s">
        <v>4563</v>
      </c>
      <c r="H1360" s="6" t="s">
        <v>208</v>
      </c>
      <c r="I1360" s="6" t="s">
        <v>3280</v>
      </c>
      <c r="J1360" s="6" t="s">
        <v>40</v>
      </c>
      <c r="K1360" s="6"/>
      <c r="L1360" s="7" t="s">
        <v>40</v>
      </c>
      <c r="M1360" s="6" t="s">
        <v>76</v>
      </c>
      <c r="N1360" s="6"/>
      <c r="O1360" s="6">
        <f>HYPERLINK("https://docs.wto.org/imrd/directdoc.asp?DDFDocuments/t/G/TBTN23/BDI368A1.DOCX", "https://docs.wto.org/imrd/directdoc.asp?DDFDocuments/t/G/TBTN23/BDI368A1.DOCX")</f>
      </c>
      <c r="P1360" s="6">
        <f>HYPERLINK("https://docs.wto.org/imrd/directdoc.asp?DDFDocuments/u/G/TBTN23/BDI368A1.DOCX", "https://docs.wto.org/imrd/directdoc.asp?DDFDocuments/u/G/TBTN23/BDI368A1.DOCX")</f>
      </c>
      <c r="Q1360" s="6">
        <f>HYPERLINK("https://docs.wto.org/imrd/directdoc.asp?DDFDocuments/v/G/TBTN23/BDI368A1.DOCX", "https://docs.wto.org/imrd/directdoc.asp?DDFDocuments/v/G/TBTN23/BDI368A1.DOCX")</f>
      </c>
    </row>
    <row r="1361">
      <c r="A1361" s="6" t="s">
        <v>880</v>
      </c>
      <c r="B1361" s="7">
        <v>45476</v>
      </c>
      <c r="C1361" s="6">
        <f>HYPERLINK("https://eping.wto.org/en/Search?viewData= G/TBT/N/BDI/368/Add.1, G/TBT/N/KEN/1448/Add.1, G/TBT/N/RWA/879/Add.1, G/TBT/N/TZA/982/Add.1, G/TBT/N/UGA/1785/Add.1"," G/TBT/N/BDI/368/Add.1, G/TBT/N/KEN/1448/Add.1, G/TBT/N/RWA/879/Add.1, G/TBT/N/TZA/982/Add.1, G/TBT/N/UGA/1785/Add.1")</f>
      </c>
      <c r="D1361" s="8" t="s">
        <v>4560</v>
      </c>
      <c r="E1361" s="8" t="s">
        <v>4561</v>
      </c>
      <c r="F1361" s="8" t="s">
        <v>4562</v>
      </c>
      <c r="G1361" s="6" t="s">
        <v>4563</v>
      </c>
      <c r="H1361" s="6" t="s">
        <v>208</v>
      </c>
      <c r="I1361" s="6" t="s">
        <v>3280</v>
      </c>
      <c r="J1361" s="6" t="s">
        <v>40</v>
      </c>
      <c r="K1361" s="6"/>
      <c r="L1361" s="7" t="s">
        <v>40</v>
      </c>
      <c r="M1361" s="6" t="s">
        <v>76</v>
      </c>
      <c r="N1361" s="6"/>
      <c r="O1361" s="6">
        <f>HYPERLINK("https://docs.wto.org/imrd/directdoc.asp?DDFDocuments/t/G/TBTN23/BDI368A1.DOCX", "https://docs.wto.org/imrd/directdoc.asp?DDFDocuments/t/G/TBTN23/BDI368A1.DOCX")</f>
      </c>
      <c r="P1361" s="6">
        <f>HYPERLINK("https://docs.wto.org/imrd/directdoc.asp?DDFDocuments/u/G/TBTN23/BDI368A1.DOCX", "https://docs.wto.org/imrd/directdoc.asp?DDFDocuments/u/G/TBTN23/BDI368A1.DOCX")</f>
      </c>
      <c r="Q1361" s="6">
        <f>HYPERLINK("https://docs.wto.org/imrd/directdoc.asp?DDFDocuments/v/G/TBTN23/BDI368A1.DOCX", "https://docs.wto.org/imrd/directdoc.asp?DDFDocuments/v/G/TBTN23/BDI368A1.DOCX")</f>
      </c>
    </row>
    <row r="1362">
      <c r="A1362" s="6" t="s">
        <v>17</v>
      </c>
      <c r="B1362" s="7">
        <v>45476</v>
      </c>
      <c r="C1362" s="6">
        <f>HYPERLINK("https://eping.wto.org/en/Search?viewData= G/TBT/N/BDI/365/Add.1, G/TBT/N/KEN/1445/Add.1, G/TBT/N/RWA/876/Add.1, G/TBT/N/TZA/979/Add.1, G/TBT/N/UGA/1782/Add.1"," G/TBT/N/BDI/365/Add.1, G/TBT/N/KEN/1445/Add.1, G/TBT/N/RWA/876/Add.1, G/TBT/N/TZA/979/Add.1, G/TBT/N/UGA/1782/Add.1")</f>
      </c>
      <c r="D1362" s="8" t="s">
        <v>4501</v>
      </c>
      <c r="E1362" s="8" t="s">
        <v>4502</v>
      </c>
      <c r="F1362" s="8" t="s">
        <v>4503</v>
      </c>
      <c r="G1362" s="6" t="s">
        <v>4504</v>
      </c>
      <c r="H1362" s="6" t="s">
        <v>4505</v>
      </c>
      <c r="I1362" s="6" t="s">
        <v>4490</v>
      </c>
      <c r="J1362" s="6" t="s">
        <v>40</v>
      </c>
      <c r="K1362" s="6"/>
      <c r="L1362" s="7" t="s">
        <v>40</v>
      </c>
      <c r="M1362" s="6" t="s">
        <v>76</v>
      </c>
      <c r="N1362" s="6"/>
      <c r="O1362" s="6">
        <f>HYPERLINK("https://docs.wto.org/imrd/directdoc.asp?DDFDocuments/t/G/TBTN23/BDI365A1.DOCX", "https://docs.wto.org/imrd/directdoc.asp?DDFDocuments/t/G/TBTN23/BDI365A1.DOCX")</f>
      </c>
      <c r="P1362" s="6">
        <f>HYPERLINK("https://docs.wto.org/imrd/directdoc.asp?DDFDocuments/u/G/TBTN23/BDI365A1.DOCX", "https://docs.wto.org/imrd/directdoc.asp?DDFDocuments/u/G/TBTN23/BDI365A1.DOCX")</f>
      </c>
      <c r="Q1362" s="6">
        <f>HYPERLINK("https://docs.wto.org/imrd/directdoc.asp?DDFDocuments/v/G/TBTN23/BDI365A1.DOCX", "https://docs.wto.org/imrd/directdoc.asp?DDFDocuments/v/G/TBTN23/BDI365A1.DOCX")</f>
      </c>
    </row>
    <row r="1363">
      <c r="A1363" s="6" t="s">
        <v>2024</v>
      </c>
      <c r="B1363" s="7">
        <v>45476</v>
      </c>
      <c r="C1363" s="6">
        <f>HYPERLINK("https://eping.wto.org/en/Search?viewData= G/TBT/N/BDI/304/Add.1, G/TBT/N/KEN/1346/Add.1, G/TBT/N/RWA/745/Add.1, G/TBT/N/TZA/868/Add.1, G/TBT/N/UGA/1713/Add.1"," G/TBT/N/BDI/304/Add.1, G/TBT/N/KEN/1346/Add.1, G/TBT/N/RWA/745/Add.1, G/TBT/N/TZA/868/Add.1, G/TBT/N/UGA/1713/Add.1")</f>
      </c>
      <c r="D1363" s="8" t="s">
        <v>4553</v>
      </c>
      <c r="E1363" s="8" t="s">
        <v>4554</v>
      </c>
      <c r="F1363" s="8" t="s">
        <v>4512</v>
      </c>
      <c r="G1363" s="6" t="s">
        <v>3363</v>
      </c>
      <c r="H1363" s="6" t="s">
        <v>3364</v>
      </c>
      <c r="I1363" s="6" t="s">
        <v>4555</v>
      </c>
      <c r="J1363" s="6" t="s">
        <v>40</v>
      </c>
      <c r="K1363" s="6"/>
      <c r="L1363" s="7" t="s">
        <v>40</v>
      </c>
      <c r="M1363" s="6" t="s">
        <v>76</v>
      </c>
      <c r="N1363" s="6"/>
      <c r="O1363" s="6">
        <f>HYPERLINK("https://docs.wto.org/imrd/directdoc.asp?DDFDocuments/t/G/TBTN22/BDI304A1.DOCX", "https://docs.wto.org/imrd/directdoc.asp?DDFDocuments/t/G/TBTN22/BDI304A1.DOCX")</f>
      </c>
      <c r="P1363" s="6">
        <f>HYPERLINK("https://docs.wto.org/imrd/directdoc.asp?DDFDocuments/u/G/TBTN22/BDI304A1.DOCX", "https://docs.wto.org/imrd/directdoc.asp?DDFDocuments/u/G/TBTN22/BDI304A1.DOCX")</f>
      </c>
      <c r="Q1363" s="6">
        <f>HYPERLINK("https://docs.wto.org/imrd/directdoc.asp?DDFDocuments/v/G/TBTN22/BDI304A1.DOCX", "https://docs.wto.org/imrd/directdoc.asp?DDFDocuments/v/G/TBTN22/BDI304A1.DOCX")</f>
      </c>
    </row>
    <row r="1364">
      <c r="A1364" s="6" t="s">
        <v>2030</v>
      </c>
      <c r="B1364" s="7">
        <v>45476</v>
      </c>
      <c r="C1364" s="6">
        <f>HYPERLINK("https://eping.wto.org/en/Search?viewData= G/TBT/N/BDI/366/Add.1, G/TBT/N/KEN/1446/Add.1, G/TBT/N/RWA/877/Add.1, G/TBT/N/TZA/980/Add.1, G/TBT/N/UGA/1783/Add.1"," G/TBT/N/BDI/366/Add.1, G/TBT/N/KEN/1446/Add.1, G/TBT/N/RWA/877/Add.1, G/TBT/N/TZA/980/Add.1, G/TBT/N/UGA/1783/Add.1")</f>
      </c>
      <c r="D1364" s="8" t="s">
        <v>4497</v>
      </c>
      <c r="E1364" s="8" t="s">
        <v>4498</v>
      </c>
      <c r="F1364" s="8" t="s">
        <v>4499</v>
      </c>
      <c r="G1364" s="6" t="s">
        <v>1118</v>
      </c>
      <c r="H1364" s="6" t="s">
        <v>208</v>
      </c>
      <c r="I1364" s="6" t="s">
        <v>4564</v>
      </c>
      <c r="J1364" s="6" t="s">
        <v>40</v>
      </c>
      <c r="K1364" s="6"/>
      <c r="L1364" s="7" t="s">
        <v>40</v>
      </c>
      <c r="M1364" s="6" t="s">
        <v>76</v>
      </c>
      <c r="N1364" s="6"/>
      <c r="O1364" s="6">
        <f>HYPERLINK("https://docs.wto.org/imrd/directdoc.asp?DDFDocuments/t/G/TBTN23/BDI366A1.DOCX", "https://docs.wto.org/imrd/directdoc.asp?DDFDocuments/t/G/TBTN23/BDI366A1.DOCX")</f>
      </c>
      <c r="P1364" s="6">
        <f>HYPERLINK("https://docs.wto.org/imrd/directdoc.asp?DDFDocuments/u/G/TBTN23/BDI366A1.DOCX", "https://docs.wto.org/imrd/directdoc.asp?DDFDocuments/u/G/TBTN23/BDI366A1.DOCX")</f>
      </c>
      <c r="Q1364" s="6">
        <f>HYPERLINK("https://docs.wto.org/imrd/directdoc.asp?DDFDocuments/v/G/TBTN23/BDI366A1.DOCX", "https://docs.wto.org/imrd/directdoc.asp?DDFDocuments/v/G/TBTN23/BDI366A1.DOCX")</f>
      </c>
    </row>
    <row r="1365">
      <c r="A1365" s="6" t="s">
        <v>2030</v>
      </c>
      <c r="B1365" s="7">
        <v>45476</v>
      </c>
      <c r="C1365" s="6">
        <f>HYPERLINK("https://eping.wto.org/en/Search?viewData= G/TBT/N/BDI/338/Add.1, G/TBT/N/KEN/1400/Add.1, G/TBT/N/RWA/845/Add.1, G/TBT/N/TZA/924/Add.1, G/TBT/N/UGA/1753/Add.1"," G/TBT/N/BDI/338/Add.1, G/TBT/N/KEN/1400/Add.1, G/TBT/N/RWA/845/Add.1, G/TBT/N/TZA/924/Add.1, G/TBT/N/UGA/1753/Add.1")</f>
      </c>
      <c r="D1365" s="8" t="s">
        <v>4557</v>
      </c>
      <c r="E1365" s="8" t="s">
        <v>4558</v>
      </c>
      <c r="F1365" s="8" t="s">
        <v>4298</v>
      </c>
      <c r="G1365" s="6" t="s">
        <v>4299</v>
      </c>
      <c r="H1365" s="6" t="s">
        <v>3048</v>
      </c>
      <c r="I1365" s="6" t="s">
        <v>4481</v>
      </c>
      <c r="J1365" s="6" t="s">
        <v>4559</v>
      </c>
      <c r="K1365" s="6"/>
      <c r="L1365" s="7" t="s">
        <v>40</v>
      </c>
      <c r="M1365" s="6" t="s">
        <v>76</v>
      </c>
      <c r="N1365" s="6"/>
      <c r="O1365" s="6">
        <f>HYPERLINK("https://docs.wto.org/imrd/directdoc.asp?DDFDocuments/t/G/TBTN23/BDI338A1.DOCX", "https://docs.wto.org/imrd/directdoc.asp?DDFDocuments/t/G/TBTN23/BDI338A1.DOCX")</f>
      </c>
      <c r="P1365" s="6">
        <f>HYPERLINK("https://docs.wto.org/imrd/directdoc.asp?DDFDocuments/u/G/TBTN23/BDI338A1.DOCX", "https://docs.wto.org/imrd/directdoc.asp?DDFDocuments/u/G/TBTN23/BDI338A1.DOCX")</f>
      </c>
      <c r="Q1365" s="6">
        <f>HYPERLINK("https://docs.wto.org/imrd/directdoc.asp?DDFDocuments/v/G/TBTN23/BDI338A1.DOCX", "https://docs.wto.org/imrd/directdoc.asp?DDFDocuments/v/G/TBTN23/BDI338A1.DOCX")</f>
      </c>
    </row>
    <row r="1366">
      <c r="A1366" s="6" t="s">
        <v>2030</v>
      </c>
      <c r="B1366" s="7">
        <v>45476</v>
      </c>
      <c r="C1366" s="6">
        <f>HYPERLINK("https://eping.wto.org/en/Search?viewData= G/TBT/N/BDI/332/Add.1, G/TBT/N/KEN/1394/Add.1, G/TBT/N/RWA/839/Add.1, G/TBT/N/TZA/918/Add.1, G/TBT/N/UGA/1747/Add.1"," G/TBT/N/BDI/332/Add.1, G/TBT/N/KEN/1394/Add.1, G/TBT/N/RWA/839/Add.1, G/TBT/N/TZA/918/Add.1, G/TBT/N/UGA/1747/Add.1")</f>
      </c>
      <c r="D1366" s="8" t="s">
        <v>4565</v>
      </c>
      <c r="E1366" s="8" t="s">
        <v>4566</v>
      </c>
      <c r="F1366" s="8" t="s">
        <v>4294</v>
      </c>
      <c r="G1366" s="6" t="s">
        <v>4295</v>
      </c>
      <c r="H1366" s="6" t="s">
        <v>320</v>
      </c>
      <c r="I1366" s="6" t="s">
        <v>4481</v>
      </c>
      <c r="J1366" s="6" t="s">
        <v>122</v>
      </c>
      <c r="K1366" s="6"/>
      <c r="L1366" s="7" t="s">
        <v>40</v>
      </c>
      <c r="M1366" s="6" t="s">
        <v>76</v>
      </c>
      <c r="N1366" s="6"/>
      <c r="O1366" s="6">
        <f>HYPERLINK("https://docs.wto.org/imrd/directdoc.asp?DDFDocuments/t/G/TBTN23/BDI332A1.DOCX", "https://docs.wto.org/imrd/directdoc.asp?DDFDocuments/t/G/TBTN23/BDI332A1.DOCX")</f>
      </c>
      <c r="P1366" s="6">
        <f>HYPERLINK("https://docs.wto.org/imrd/directdoc.asp?DDFDocuments/u/G/TBTN23/BDI332A1.DOCX", "https://docs.wto.org/imrd/directdoc.asp?DDFDocuments/u/G/TBTN23/BDI332A1.DOCX")</f>
      </c>
      <c r="Q1366" s="6">
        <f>HYPERLINK("https://docs.wto.org/imrd/directdoc.asp?DDFDocuments/v/G/TBTN23/BDI332A1.DOCX", "https://docs.wto.org/imrd/directdoc.asp?DDFDocuments/v/G/TBTN23/BDI332A1.DOCX")</f>
      </c>
    </row>
    <row r="1367">
      <c r="A1367" s="6" t="s">
        <v>17</v>
      </c>
      <c r="B1367" s="7">
        <v>45476</v>
      </c>
      <c r="C1367" s="6">
        <f>HYPERLINK("https://eping.wto.org/en/Search?viewData= G/TBT/N/BDI/332/Add.1, G/TBT/N/KEN/1394/Add.1, G/TBT/N/RWA/839/Add.1, G/TBT/N/TZA/918/Add.1, G/TBT/N/UGA/1747/Add.1"," G/TBT/N/BDI/332/Add.1, G/TBT/N/KEN/1394/Add.1, G/TBT/N/RWA/839/Add.1, G/TBT/N/TZA/918/Add.1, G/TBT/N/UGA/1747/Add.1")</f>
      </c>
      <c r="D1367" s="8" t="s">
        <v>4565</v>
      </c>
      <c r="E1367" s="8" t="s">
        <v>4566</v>
      </c>
      <c r="F1367" s="8" t="s">
        <v>4294</v>
      </c>
      <c r="G1367" s="6" t="s">
        <v>4295</v>
      </c>
      <c r="H1367" s="6" t="s">
        <v>320</v>
      </c>
      <c r="I1367" s="6" t="s">
        <v>4522</v>
      </c>
      <c r="J1367" s="6" t="s">
        <v>122</v>
      </c>
      <c r="K1367" s="6"/>
      <c r="L1367" s="7" t="s">
        <v>40</v>
      </c>
      <c r="M1367" s="6" t="s">
        <v>76</v>
      </c>
      <c r="N1367" s="6"/>
      <c r="O1367" s="6">
        <f>HYPERLINK("https://docs.wto.org/imrd/directdoc.asp?DDFDocuments/t/G/TBTN23/BDI332A1.DOCX", "https://docs.wto.org/imrd/directdoc.asp?DDFDocuments/t/G/TBTN23/BDI332A1.DOCX")</f>
      </c>
      <c r="P1367" s="6">
        <f>HYPERLINK("https://docs.wto.org/imrd/directdoc.asp?DDFDocuments/u/G/TBTN23/BDI332A1.DOCX", "https://docs.wto.org/imrd/directdoc.asp?DDFDocuments/u/G/TBTN23/BDI332A1.DOCX")</f>
      </c>
      <c r="Q1367" s="6">
        <f>HYPERLINK("https://docs.wto.org/imrd/directdoc.asp?DDFDocuments/v/G/TBTN23/BDI332A1.DOCX", "https://docs.wto.org/imrd/directdoc.asp?DDFDocuments/v/G/TBTN23/BDI332A1.DOCX")</f>
      </c>
    </row>
    <row r="1368">
      <c r="A1368" s="6" t="s">
        <v>2041</v>
      </c>
      <c r="B1368" s="7">
        <v>45476</v>
      </c>
      <c r="C1368" s="6">
        <f>HYPERLINK("https://eping.wto.org/en/Search?viewData= G/TBT/N/BDI/337/Add.1, G/TBT/N/KEN/1399/Add.1, G/TBT/N/RWA/844/Add.1, G/TBT/N/TZA/923/Add.1, G/TBT/N/UGA/1752/Add.1"," G/TBT/N/BDI/337/Add.1, G/TBT/N/KEN/1399/Add.1, G/TBT/N/RWA/844/Add.1, G/TBT/N/TZA/923/Add.1, G/TBT/N/UGA/1752/Add.1")</f>
      </c>
      <c r="D1368" s="8" t="s">
        <v>4474</v>
      </c>
      <c r="E1368" s="8" t="s">
        <v>4475</v>
      </c>
      <c r="F1368" s="8" t="s">
        <v>4298</v>
      </c>
      <c r="G1368" s="6" t="s">
        <v>4299</v>
      </c>
      <c r="H1368" s="6" t="s">
        <v>3048</v>
      </c>
      <c r="I1368" s="6" t="s">
        <v>4556</v>
      </c>
      <c r="J1368" s="6" t="s">
        <v>3826</v>
      </c>
      <c r="K1368" s="6"/>
      <c r="L1368" s="7" t="s">
        <v>40</v>
      </c>
      <c r="M1368" s="6" t="s">
        <v>76</v>
      </c>
      <c r="N1368" s="6"/>
      <c r="O1368" s="6">
        <f>HYPERLINK("https://docs.wto.org/imrd/directdoc.asp?DDFDocuments/t/G/TBTN23/BDI337A1.DOCX", "https://docs.wto.org/imrd/directdoc.asp?DDFDocuments/t/G/TBTN23/BDI337A1.DOCX")</f>
      </c>
      <c r="P1368" s="6">
        <f>HYPERLINK("https://docs.wto.org/imrd/directdoc.asp?DDFDocuments/u/G/TBTN23/BDI337A1.DOCX", "https://docs.wto.org/imrd/directdoc.asp?DDFDocuments/u/G/TBTN23/BDI337A1.DOCX")</f>
      </c>
      <c r="Q1368" s="6">
        <f>HYPERLINK("https://docs.wto.org/imrd/directdoc.asp?DDFDocuments/v/G/TBTN23/BDI337A1.DOCX", "https://docs.wto.org/imrd/directdoc.asp?DDFDocuments/v/G/TBTN23/BDI337A1.DOCX")</f>
      </c>
    </row>
    <row r="1369">
      <c r="A1369" s="6" t="s">
        <v>880</v>
      </c>
      <c r="B1369" s="7">
        <v>45476</v>
      </c>
      <c r="C1369" s="6">
        <f>HYPERLINK("https://eping.wto.org/en/Search?viewData= G/TBT/N/BDI/337/Add.1, G/TBT/N/KEN/1399/Add.1, G/TBT/N/RWA/844/Add.1, G/TBT/N/TZA/923/Add.1, G/TBT/N/UGA/1752/Add.1"," G/TBT/N/BDI/337/Add.1, G/TBT/N/KEN/1399/Add.1, G/TBT/N/RWA/844/Add.1, G/TBT/N/TZA/923/Add.1, G/TBT/N/UGA/1752/Add.1")</f>
      </c>
      <c r="D1369" s="8" t="s">
        <v>4474</v>
      </c>
      <c r="E1369" s="8" t="s">
        <v>4475</v>
      </c>
      <c r="F1369" s="8" t="s">
        <v>4298</v>
      </c>
      <c r="G1369" s="6" t="s">
        <v>4299</v>
      </c>
      <c r="H1369" s="6" t="s">
        <v>3048</v>
      </c>
      <c r="I1369" s="6" t="s">
        <v>4556</v>
      </c>
      <c r="J1369" s="6" t="s">
        <v>3826</v>
      </c>
      <c r="K1369" s="6"/>
      <c r="L1369" s="7" t="s">
        <v>40</v>
      </c>
      <c r="M1369" s="6" t="s">
        <v>76</v>
      </c>
      <c r="N1369" s="6"/>
      <c r="O1369" s="6">
        <f>HYPERLINK("https://docs.wto.org/imrd/directdoc.asp?DDFDocuments/t/G/TBTN23/BDI337A1.DOCX", "https://docs.wto.org/imrd/directdoc.asp?DDFDocuments/t/G/TBTN23/BDI337A1.DOCX")</f>
      </c>
      <c r="P1369" s="6">
        <f>HYPERLINK("https://docs.wto.org/imrd/directdoc.asp?DDFDocuments/u/G/TBTN23/BDI337A1.DOCX", "https://docs.wto.org/imrd/directdoc.asp?DDFDocuments/u/G/TBTN23/BDI337A1.DOCX")</f>
      </c>
      <c r="Q1369" s="6">
        <f>HYPERLINK("https://docs.wto.org/imrd/directdoc.asp?DDFDocuments/v/G/TBTN23/BDI337A1.DOCX", "https://docs.wto.org/imrd/directdoc.asp?DDFDocuments/v/G/TBTN23/BDI337A1.DOCX")</f>
      </c>
    </row>
    <row r="1370">
      <c r="A1370" s="6" t="s">
        <v>2041</v>
      </c>
      <c r="B1370" s="7">
        <v>45476</v>
      </c>
      <c r="C1370" s="6">
        <f>HYPERLINK("https://eping.wto.org/en/Search?viewData= G/TBT/N/BDI/330/Add.1, G/TBT/N/KEN/1392/Add.1, G/TBT/N/RWA/837/Add.1, G/TBT/N/TZA/916/Add.1, G/TBT/N/UGA/1745/Add.1"," G/TBT/N/BDI/330/Add.1, G/TBT/N/KEN/1392/Add.1, G/TBT/N/RWA/837/Add.1, G/TBT/N/TZA/916/Add.1, G/TBT/N/UGA/1745/Add.1")</f>
      </c>
      <c r="D1370" s="8" t="s">
        <v>4477</v>
      </c>
      <c r="E1370" s="8" t="s">
        <v>4478</v>
      </c>
      <c r="F1370" s="8" t="s">
        <v>4479</v>
      </c>
      <c r="G1370" s="6" t="s">
        <v>4480</v>
      </c>
      <c r="H1370" s="6" t="s">
        <v>320</v>
      </c>
      <c r="I1370" s="6" t="s">
        <v>4522</v>
      </c>
      <c r="J1370" s="6" t="s">
        <v>122</v>
      </c>
      <c r="K1370" s="6"/>
      <c r="L1370" s="7" t="s">
        <v>40</v>
      </c>
      <c r="M1370" s="6" t="s">
        <v>76</v>
      </c>
      <c r="N1370" s="6"/>
      <c r="O1370" s="6">
        <f>HYPERLINK("https://docs.wto.org/imrd/directdoc.asp?DDFDocuments/t/G/TBTN23/BDI330A1.DOCX", "https://docs.wto.org/imrd/directdoc.asp?DDFDocuments/t/G/TBTN23/BDI330A1.DOCX")</f>
      </c>
      <c r="P1370" s="6">
        <f>HYPERLINK("https://docs.wto.org/imrd/directdoc.asp?DDFDocuments/u/G/TBTN23/BDI330A1.DOCX", "https://docs.wto.org/imrd/directdoc.asp?DDFDocuments/u/G/TBTN23/BDI330A1.DOCX")</f>
      </c>
      <c r="Q1370" s="6">
        <f>HYPERLINK("https://docs.wto.org/imrd/directdoc.asp?DDFDocuments/v/G/TBTN23/BDI330A1.DOCX", "https://docs.wto.org/imrd/directdoc.asp?DDFDocuments/v/G/TBTN23/BDI330A1.DOCX")</f>
      </c>
    </row>
    <row r="1371">
      <c r="A1371" s="6" t="s">
        <v>2024</v>
      </c>
      <c r="B1371" s="7">
        <v>45476</v>
      </c>
      <c r="C1371" s="6">
        <f>HYPERLINK("https://eping.wto.org/en/Search?viewData= G/TBT/N/BDI/360/Add.1, G/TBT/N/KEN/1440/Add.1, G/TBT/N/RWA/871/Add.1, G/TBT/N/TZA/974/Add.1, G/TBT/N/UGA/1776/Add.1"," G/TBT/N/BDI/360/Add.1, G/TBT/N/KEN/1440/Add.1, G/TBT/N/RWA/871/Add.1, G/TBT/N/TZA/974/Add.1, G/TBT/N/UGA/1776/Add.1")</f>
      </c>
      <c r="D1371" s="8" t="s">
        <v>4523</v>
      </c>
      <c r="E1371" s="8" t="s">
        <v>4524</v>
      </c>
      <c r="F1371" s="8" t="s">
        <v>4525</v>
      </c>
      <c r="G1371" s="6" t="s">
        <v>4526</v>
      </c>
      <c r="H1371" s="6" t="s">
        <v>4527</v>
      </c>
      <c r="I1371" s="6" t="s">
        <v>4528</v>
      </c>
      <c r="J1371" s="6" t="s">
        <v>40</v>
      </c>
      <c r="K1371" s="6"/>
      <c r="L1371" s="7" t="s">
        <v>40</v>
      </c>
      <c r="M1371" s="6" t="s">
        <v>76</v>
      </c>
      <c r="N1371" s="6"/>
      <c r="O1371" s="6">
        <f>HYPERLINK("https://docs.wto.org/imrd/directdoc.asp?DDFDocuments/t/G/TBTN23/BDI360A1.DOCX", "https://docs.wto.org/imrd/directdoc.asp?DDFDocuments/t/G/TBTN23/BDI360A1.DOCX")</f>
      </c>
      <c r="P1371" s="6">
        <f>HYPERLINK("https://docs.wto.org/imrd/directdoc.asp?DDFDocuments/u/G/TBTN23/BDI360A1.DOCX", "https://docs.wto.org/imrd/directdoc.asp?DDFDocuments/u/G/TBTN23/BDI360A1.DOCX")</f>
      </c>
      <c r="Q1371" s="6">
        <f>HYPERLINK("https://docs.wto.org/imrd/directdoc.asp?DDFDocuments/v/G/TBTN23/BDI360A1.DOCX", "https://docs.wto.org/imrd/directdoc.asp?DDFDocuments/v/G/TBTN23/BDI360A1.DOCX")</f>
      </c>
    </row>
    <row r="1372">
      <c r="A1372" s="6" t="s">
        <v>17</v>
      </c>
      <c r="B1372" s="7">
        <v>45476</v>
      </c>
      <c r="C1372" s="6">
        <f>HYPERLINK("https://eping.wto.org/en/Search?viewData= G/TBT/N/BDI/360/Add.1, G/TBT/N/KEN/1440/Add.1, G/TBT/N/RWA/871/Add.1, G/TBT/N/TZA/974/Add.1, G/TBT/N/UGA/1776/Add.1"," G/TBT/N/BDI/360/Add.1, G/TBT/N/KEN/1440/Add.1, G/TBT/N/RWA/871/Add.1, G/TBT/N/TZA/974/Add.1, G/TBT/N/UGA/1776/Add.1")</f>
      </c>
      <c r="D1372" s="8" t="s">
        <v>4523</v>
      </c>
      <c r="E1372" s="8" t="s">
        <v>4524</v>
      </c>
      <c r="F1372" s="8" t="s">
        <v>4525</v>
      </c>
      <c r="G1372" s="6" t="s">
        <v>4526</v>
      </c>
      <c r="H1372" s="6" t="s">
        <v>4527</v>
      </c>
      <c r="I1372" s="6" t="s">
        <v>4528</v>
      </c>
      <c r="J1372" s="6" t="s">
        <v>40</v>
      </c>
      <c r="K1372" s="6"/>
      <c r="L1372" s="7" t="s">
        <v>40</v>
      </c>
      <c r="M1372" s="6" t="s">
        <v>76</v>
      </c>
      <c r="N1372" s="6"/>
      <c r="O1372" s="6">
        <f>HYPERLINK("https://docs.wto.org/imrd/directdoc.asp?DDFDocuments/t/G/TBTN23/BDI360A1.DOCX", "https://docs.wto.org/imrd/directdoc.asp?DDFDocuments/t/G/TBTN23/BDI360A1.DOCX")</f>
      </c>
      <c r="P1372" s="6">
        <f>HYPERLINK("https://docs.wto.org/imrd/directdoc.asp?DDFDocuments/u/G/TBTN23/BDI360A1.DOCX", "https://docs.wto.org/imrd/directdoc.asp?DDFDocuments/u/G/TBTN23/BDI360A1.DOCX")</f>
      </c>
      <c r="Q1372" s="6">
        <f>HYPERLINK("https://docs.wto.org/imrd/directdoc.asp?DDFDocuments/v/G/TBTN23/BDI360A1.DOCX", "https://docs.wto.org/imrd/directdoc.asp?DDFDocuments/v/G/TBTN23/BDI360A1.DOCX")</f>
      </c>
    </row>
    <row r="1373">
      <c r="A1373" s="6" t="s">
        <v>2024</v>
      </c>
      <c r="B1373" s="7">
        <v>45476</v>
      </c>
      <c r="C1373" s="6">
        <f>HYPERLINK("https://eping.wto.org/en/Search?viewData= G/TBT/N/BDI/359/Add.1, G/TBT/N/KEN/1439/Add.1, G/TBT/N/RWA/870/Add.1, G/TBT/N/TZA/973/Add.1, G/TBT/N/UGA/1775/Add.1"," G/TBT/N/BDI/359/Add.1, G/TBT/N/KEN/1439/Add.1, G/TBT/N/RWA/870/Add.1, G/TBT/N/TZA/973/Add.1, G/TBT/N/UGA/1775/Add.1")</f>
      </c>
      <c r="D1373" s="8" t="s">
        <v>4529</v>
      </c>
      <c r="E1373" s="8" t="s">
        <v>4530</v>
      </c>
      <c r="F1373" s="8" t="s">
        <v>4531</v>
      </c>
      <c r="G1373" s="6" t="s">
        <v>4532</v>
      </c>
      <c r="H1373" s="6" t="s">
        <v>4527</v>
      </c>
      <c r="I1373" s="6" t="s">
        <v>4533</v>
      </c>
      <c r="J1373" s="6" t="s">
        <v>40</v>
      </c>
      <c r="K1373" s="6"/>
      <c r="L1373" s="7" t="s">
        <v>40</v>
      </c>
      <c r="M1373" s="6" t="s">
        <v>76</v>
      </c>
      <c r="N1373" s="6"/>
      <c r="O1373" s="6">
        <f>HYPERLINK("https://docs.wto.org/imrd/directdoc.asp?DDFDocuments/t/G/TBTN23/BDI359A1.DOCX", "https://docs.wto.org/imrd/directdoc.asp?DDFDocuments/t/G/TBTN23/BDI359A1.DOCX")</f>
      </c>
      <c r="P1373" s="6">
        <f>HYPERLINK("https://docs.wto.org/imrd/directdoc.asp?DDFDocuments/u/G/TBTN23/BDI359A1.DOCX", "https://docs.wto.org/imrd/directdoc.asp?DDFDocuments/u/G/TBTN23/BDI359A1.DOCX")</f>
      </c>
      <c r="Q1373" s="6">
        <f>HYPERLINK("https://docs.wto.org/imrd/directdoc.asp?DDFDocuments/v/G/TBTN23/BDI359A1.DOCX", "https://docs.wto.org/imrd/directdoc.asp?DDFDocuments/v/G/TBTN23/BDI359A1.DOCX")</f>
      </c>
    </row>
    <row r="1374">
      <c r="A1374" s="6" t="s">
        <v>17</v>
      </c>
      <c r="B1374" s="7">
        <v>45476</v>
      </c>
      <c r="C1374" s="6">
        <f>HYPERLINK("https://eping.wto.org/en/Search?viewData= G/TBT/N/BDI/359/Add.1, G/TBT/N/KEN/1439/Add.1, G/TBT/N/RWA/870/Add.1, G/TBT/N/TZA/973/Add.1, G/TBT/N/UGA/1775/Add.1"," G/TBT/N/BDI/359/Add.1, G/TBT/N/KEN/1439/Add.1, G/TBT/N/RWA/870/Add.1, G/TBT/N/TZA/973/Add.1, G/TBT/N/UGA/1775/Add.1")</f>
      </c>
      <c r="D1374" s="8" t="s">
        <v>4529</v>
      </c>
      <c r="E1374" s="8" t="s">
        <v>4530</v>
      </c>
      <c r="F1374" s="8" t="s">
        <v>4531</v>
      </c>
      <c r="G1374" s="6" t="s">
        <v>4532</v>
      </c>
      <c r="H1374" s="6" t="s">
        <v>4527</v>
      </c>
      <c r="I1374" s="6" t="s">
        <v>4533</v>
      </c>
      <c r="J1374" s="6" t="s">
        <v>40</v>
      </c>
      <c r="K1374" s="6"/>
      <c r="L1374" s="7" t="s">
        <v>40</v>
      </c>
      <c r="M1374" s="6" t="s">
        <v>76</v>
      </c>
      <c r="N1374" s="6"/>
      <c r="O1374" s="6">
        <f>HYPERLINK("https://docs.wto.org/imrd/directdoc.asp?DDFDocuments/t/G/TBTN23/BDI359A1.DOCX", "https://docs.wto.org/imrd/directdoc.asp?DDFDocuments/t/G/TBTN23/BDI359A1.DOCX")</f>
      </c>
      <c r="P1374" s="6">
        <f>HYPERLINK("https://docs.wto.org/imrd/directdoc.asp?DDFDocuments/u/G/TBTN23/BDI359A1.DOCX", "https://docs.wto.org/imrd/directdoc.asp?DDFDocuments/u/G/TBTN23/BDI359A1.DOCX")</f>
      </c>
      <c r="Q1374" s="6">
        <f>HYPERLINK("https://docs.wto.org/imrd/directdoc.asp?DDFDocuments/v/G/TBTN23/BDI359A1.DOCX", "https://docs.wto.org/imrd/directdoc.asp?DDFDocuments/v/G/TBTN23/BDI359A1.DOCX")</f>
      </c>
    </row>
    <row r="1375">
      <c r="A1375" s="6" t="s">
        <v>2041</v>
      </c>
      <c r="B1375" s="7">
        <v>45476</v>
      </c>
      <c r="C1375" s="6">
        <f>HYPERLINK("https://eping.wto.org/en/Search?viewData= G/TBT/N/BDI/341/Add.1, G/TBT/N/KEN/1404/Add.1, G/TBT/N/RWA/848/Add.1, G/TBT/N/TZA/927/Add.1, G/TBT/N/UGA/1756/Add.1"," G/TBT/N/BDI/341/Add.1, G/TBT/N/KEN/1404/Add.1, G/TBT/N/RWA/848/Add.1, G/TBT/N/TZA/927/Add.1, G/TBT/N/UGA/1756/Add.1")</f>
      </c>
      <c r="D1375" s="8" t="s">
        <v>4534</v>
      </c>
      <c r="E1375" s="8" t="s">
        <v>4535</v>
      </c>
      <c r="F1375" s="8" t="s">
        <v>4536</v>
      </c>
      <c r="G1375" s="6" t="s">
        <v>4537</v>
      </c>
      <c r="H1375" s="6" t="s">
        <v>4538</v>
      </c>
      <c r="I1375" s="6" t="s">
        <v>4496</v>
      </c>
      <c r="J1375" s="6" t="s">
        <v>40</v>
      </c>
      <c r="K1375" s="6"/>
      <c r="L1375" s="7" t="s">
        <v>40</v>
      </c>
      <c r="M1375" s="6" t="s">
        <v>76</v>
      </c>
      <c r="N1375" s="6"/>
      <c r="O1375" s="6">
        <f>HYPERLINK("https://docs.wto.org/imrd/directdoc.asp?DDFDocuments/t/G/TBTN23/BDI341A1.DOCX", "https://docs.wto.org/imrd/directdoc.asp?DDFDocuments/t/G/TBTN23/BDI341A1.DOCX")</f>
      </c>
      <c r="P1375" s="6">
        <f>HYPERLINK("https://docs.wto.org/imrd/directdoc.asp?DDFDocuments/u/G/TBTN23/BDI341A1.DOCX", "https://docs.wto.org/imrd/directdoc.asp?DDFDocuments/u/G/TBTN23/BDI341A1.DOCX")</f>
      </c>
      <c r="Q1375" s="6">
        <f>HYPERLINK("https://docs.wto.org/imrd/directdoc.asp?DDFDocuments/v/G/TBTN23/BDI341A1.DOCX", "https://docs.wto.org/imrd/directdoc.asp?DDFDocuments/v/G/TBTN23/BDI341A1.DOCX")</f>
      </c>
    </row>
    <row r="1376">
      <c r="A1376" s="6" t="s">
        <v>2041</v>
      </c>
      <c r="B1376" s="7">
        <v>45476</v>
      </c>
      <c r="C1376" s="6">
        <f>HYPERLINK("https://eping.wto.org/en/Search?viewData= G/TBT/N/BDI/343/Add.1, G/TBT/N/KEN/1411/Add.1, G/TBT/N/RWA/850/Add.1, G/TBT/N/TZA/933/Add.1, G/TBT/N/UGA/1759/Add.1"," G/TBT/N/BDI/343/Add.1, G/TBT/N/KEN/1411/Add.1, G/TBT/N/RWA/850/Add.1, G/TBT/N/TZA/933/Add.1, G/TBT/N/UGA/1759/Add.1")</f>
      </c>
      <c r="D1376" s="8" t="s">
        <v>4539</v>
      </c>
      <c r="E1376" s="8" t="s">
        <v>4540</v>
      </c>
      <c r="F1376" s="8" t="s">
        <v>4541</v>
      </c>
      <c r="G1376" s="6" t="s">
        <v>4542</v>
      </c>
      <c r="H1376" s="6" t="s">
        <v>4543</v>
      </c>
      <c r="I1376" s="6" t="s">
        <v>4544</v>
      </c>
      <c r="J1376" s="6" t="s">
        <v>40</v>
      </c>
      <c r="K1376" s="6"/>
      <c r="L1376" s="7" t="s">
        <v>40</v>
      </c>
      <c r="M1376" s="6" t="s">
        <v>76</v>
      </c>
      <c r="N1376" s="6"/>
      <c r="O1376" s="6">
        <f>HYPERLINK("https://docs.wto.org/imrd/directdoc.asp?DDFDocuments/t/G/TBTN23/BDI343A1.DOCX", "https://docs.wto.org/imrd/directdoc.asp?DDFDocuments/t/G/TBTN23/BDI343A1.DOCX")</f>
      </c>
      <c r="P1376" s="6">
        <f>HYPERLINK("https://docs.wto.org/imrd/directdoc.asp?DDFDocuments/u/G/TBTN23/BDI343A1.DOCX", "https://docs.wto.org/imrd/directdoc.asp?DDFDocuments/u/G/TBTN23/BDI343A1.DOCX")</f>
      </c>
      <c r="Q1376" s="6">
        <f>HYPERLINK("https://docs.wto.org/imrd/directdoc.asp?DDFDocuments/v/G/TBTN23/BDI343A1.DOCX", "https://docs.wto.org/imrd/directdoc.asp?DDFDocuments/v/G/TBTN23/BDI343A1.DOCX")</f>
      </c>
    </row>
    <row r="1377">
      <c r="A1377" s="6" t="s">
        <v>17</v>
      </c>
      <c r="B1377" s="7">
        <v>45476</v>
      </c>
      <c r="C1377" s="6">
        <f>HYPERLINK("https://eping.wto.org/en/Search?viewData= G/TBT/N/BDI/342/Add.1, G/TBT/N/KEN/1405/Add.1, G/TBT/N/RWA/849/Add.1, G/TBT/N/TZA/928/Add.1, G/TBT/N/UGA/1757/Add.1"," G/TBT/N/BDI/342/Add.1, G/TBT/N/KEN/1405/Add.1, G/TBT/N/RWA/849/Add.1, G/TBT/N/TZA/928/Add.1, G/TBT/N/UGA/1757/Add.1")</f>
      </c>
      <c r="D1377" s="8" t="s">
        <v>4567</v>
      </c>
      <c r="E1377" s="8" t="s">
        <v>4568</v>
      </c>
      <c r="F1377" s="8" t="s">
        <v>4569</v>
      </c>
      <c r="G1377" s="6" t="s">
        <v>4570</v>
      </c>
      <c r="H1377" s="6" t="s">
        <v>4495</v>
      </c>
      <c r="I1377" s="6" t="s">
        <v>3453</v>
      </c>
      <c r="J1377" s="6" t="s">
        <v>40</v>
      </c>
      <c r="K1377" s="6"/>
      <c r="L1377" s="7" t="s">
        <v>40</v>
      </c>
      <c r="M1377" s="6" t="s">
        <v>76</v>
      </c>
      <c r="N1377" s="6"/>
      <c r="O1377" s="6">
        <f>HYPERLINK("https://docs.wto.org/imrd/directdoc.asp?DDFDocuments/t/G/TBTN23/BDI342A1.DOCX", "https://docs.wto.org/imrd/directdoc.asp?DDFDocuments/t/G/TBTN23/BDI342A1.DOCX")</f>
      </c>
      <c r="P1377" s="6">
        <f>HYPERLINK("https://docs.wto.org/imrd/directdoc.asp?DDFDocuments/u/G/TBTN23/BDI342A1.DOCX", "https://docs.wto.org/imrd/directdoc.asp?DDFDocuments/u/G/TBTN23/BDI342A1.DOCX")</f>
      </c>
      <c r="Q1377" s="6">
        <f>HYPERLINK("https://docs.wto.org/imrd/directdoc.asp?DDFDocuments/v/G/TBTN23/BDI342A1.DOCX", "https://docs.wto.org/imrd/directdoc.asp?DDFDocuments/v/G/TBTN23/BDI342A1.DOCX")</f>
      </c>
    </row>
    <row r="1378">
      <c r="A1378" s="6" t="s">
        <v>17</v>
      </c>
      <c r="B1378" s="7">
        <v>45476</v>
      </c>
      <c r="C1378" s="6">
        <f>HYPERLINK("https://eping.wto.org/en/Search?viewData= G/TBT/N/BDI/346/Add.1, G/TBT/N/KEN/1414/Add.1, G/TBT/N/RWA/853/Add.1, G/TBT/N/TZA/936/Add.1, G/TBT/N/UGA/1762/Add.1"," G/TBT/N/BDI/346/Add.1, G/TBT/N/KEN/1414/Add.1, G/TBT/N/RWA/853/Add.1, G/TBT/N/TZA/936/Add.1, G/TBT/N/UGA/1762/Add.1")</f>
      </c>
      <c r="D1378" s="8" t="s">
        <v>4515</v>
      </c>
      <c r="E1378" s="8" t="s">
        <v>4516</v>
      </c>
      <c r="F1378" s="8" t="s">
        <v>4517</v>
      </c>
      <c r="G1378" s="6" t="s">
        <v>4518</v>
      </c>
      <c r="H1378" s="6" t="s">
        <v>4519</v>
      </c>
      <c r="I1378" s="6" t="s">
        <v>4544</v>
      </c>
      <c r="J1378" s="6" t="s">
        <v>40</v>
      </c>
      <c r="K1378" s="6"/>
      <c r="L1378" s="7" t="s">
        <v>40</v>
      </c>
      <c r="M1378" s="6" t="s">
        <v>76</v>
      </c>
      <c r="N1378" s="6"/>
      <c r="O1378" s="6">
        <f>HYPERLINK("https://docs.wto.org/imrd/directdoc.asp?DDFDocuments/t/G/TBTN23/BDI346A1.DOCX", "https://docs.wto.org/imrd/directdoc.asp?DDFDocuments/t/G/TBTN23/BDI346A1.DOCX")</f>
      </c>
      <c r="P1378" s="6">
        <f>HYPERLINK("https://docs.wto.org/imrd/directdoc.asp?DDFDocuments/u/G/TBTN23/BDI346A1.DOCX", "https://docs.wto.org/imrd/directdoc.asp?DDFDocuments/u/G/TBTN23/BDI346A1.DOCX")</f>
      </c>
      <c r="Q1378" s="6">
        <f>HYPERLINK("https://docs.wto.org/imrd/directdoc.asp?DDFDocuments/v/G/TBTN23/BDI346A1.DOCX", "https://docs.wto.org/imrd/directdoc.asp?DDFDocuments/v/G/TBTN23/BDI346A1.DOCX")</f>
      </c>
    </row>
    <row r="1379">
      <c r="A1379" s="6" t="s">
        <v>2041</v>
      </c>
      <c r="B1379" s="7">
        <v>45476</v>
      </c>
      <c r="C1379" s="6">
        <f>HYPERLINK("https://eping.wto.org/en/Search?viewData= G/TBT/N/BDI/366/Add.1, G/TBT/N/KEN/1446/Add.1, G/TBT/N/RWA/877/Add.1, G/TBT/N/TZA/980/Add.1, G/TBT/N/UGA/1783/Add.1"," G/TBT/N/BDI/366/Add.1, G/TBT/N/KEN/1446/Add.1, G/TBT/N/RWA/877/Add.1, G/TBT/N/TZA/980/Add.1, G/TBT/N/UGA/1783/Add.1")</f>
      </c>
      <c r="D1379" s="8" t="s">
        <v>4497</v>
      </c>
      <c r="E1379" s="8" t="s">
        <v>4498</v>
      </c>
      <c r="F1379" s="8" t="s">
        <v>4499</v>
      </c>
      <c r="G1379" s="6" t="s">
        <v>1118</v>
      </c>
      <c r="H1379" s="6" t="s">
        <v>208</v>
      </c>
      <c r="I1379" s="6" t="s">
        <v>4500</v>
      </c>
      <c r="J1379" s="6" t="s">
        <v>40</v>
      </c>
      <c r="K1379" s="6"/>
      <c r="L1379" s="7" t="s">
        <v>40</v>
      </c>
      <c r="M1379" s="6" t="s">
        <v>76</v>
      </c>
      <c r="N1379" s="6"/>
      <c r="O1379" s="6">
        <f>HYPERLINK("https://docs.wto.org/imrd/directdoc.asp?DDFDocuments/t/G/TBTN23/BDI366A1.DOCX", "https://docs.wto.org/imrd/directdoc.asp?DDFDocuments/t/G/TBTN23/BDI366A1.DOCX")</f>
      </c>
      <c r="P1379" s="6">
        <f>HYPERLINK("https://docs.wto.org/imrd/directdoc.asp?DDFDocuments/u/G/TBTN23/BDI366A1.DOCX", "https://docs.wto.org/imrd/directdoc.asp?DDFDocuments/u/G/TBTN23/BDI366A1.DOCX")</f>
      </c>
      <c r="Q1379" s="6">
        <f>HYPERLINK("https://docs.wto.org/imrd/directdoc.asp?DDFDocuments/v/G/TBTN23/BDI366A1.DOCX", "https://docs.wto.org/imrd/directdoc.asp?DDFDocuments/v/G/TBTN23/BDI366A1.DOCX")</f>
      </c>
    </row>
    <row r="1380">
      <c r="A1380" s="6" t="s">
        <v>17</v>
      </c>
      <c r="B1380" s="7">
        <v>45476</v>
      </c>
      <c r="C1380" s="6">
        <f>HYPERLINK("https://eping.wto.org/en/Search?viewData= G/TBT/N/BDI/345/Add.1, G/TBT/N/KEN/1413/Add.1, G/TBT/N/RWA/852/Add.1, G/TBT/N/TZA/935/Add.1, G/TBT/N/UGA/1761/Add.1"," G/TBT/N/BDI/345/Add.1, G/TBT/N/KEN/1413/Add.1, G/TBT/N/RWA/852/Add.1, G/TBT/N/TZA/935/Add.1, G/TBT/N/UGA/1761/Add.1")</f>
      </c>
      <c r="D1380" s="8" t="s">
        <v>4571</v>
      </c>
      <c r="E1380" s="8" t="s">
        <v>4572</v>
      </c>
      <c r="F1380" s="8" t="s">
        <v>4573</v>
      </c>
      <c r="G1380" s="6" t="s">
        <v>4574</v>
      </c>
      <c r="H1380" s="6" t="s">
        <v>4519</v>
      </c>
      <c r="I1380" s="6" t="s">
        <v>4544</v>
      </c>
      <c r="J1380" s="6" t="s">
        <v>40</v>
      </c>
      <c r="K1380" s="6"/>
      <c r="L1380" s="7" t="s">
        <v>40</v>
      </c>
      <c r="M1380" s="6" t="s">
        <v>76</v>
      </c>
      <c r="N1380" s="6"/>
      <c r="O1380" s="6">
        <f>HYPERLINK("https://docs.wto.org/imrd/directdoc.asp?DDFDocuments/t/G/TBTN23/BDI345A1.DOCX", "https://docs.wto.org/imrd/directdoc.asp?DDFDocuments/t/G/TBTN23/BDI345A1.DOCX")</f>
      </c>
      <c r="P1380" s="6">
        <f>HYPERLINK("https://docs.wto.org/imrd/directdoc.asp?DDFDocuments/u/G/TBTN23/BDI345A1.DOCX", "https://docs.wto.org/imrd/directdoc.asp?DDFDocuments/u/G/TBTN23/BDI345A1.DOCX")</f>
      </c>
      <c r="Q1380" s="6">
        <f>HYPERLINK("https://docs.wto.org/imrd/directdoc.asp?DDFDocuments/v/G/TBTN23/BDI345A1.DOCX", "https://docs.wto.org/imrd/directdoc.asp?DDFDocuments/v/G/TBTN23/BDI345A1.DOCX")</f>
      </c>
    </row>
    <row r="1381">
      <c r="A1381" s="6" t="s">
        <v>198</v>
      </c>
      <c r="B1381" s="7">
        <v>45476</v>
      </c>
      <c r="C1381" s="6">
        <f>HYPERLINK("https://eping.wto.org/en/Search?viewData= G/SPS/N/CHL/776/Rev.1"," G/SPS/N/CHL/776/Rev.1")</f>
      </c>
      <c r="D1381" s="8" t="s">
        <v>4575</v>
      </c>
      <c r="E1381" s="8" t="s">
        <v>4576</v>
      </c>
      <c r="F1381" s="8" t="s">
        <v>4577</v>
      </c>
      <c r="G1381" s="6" t="s">
        <v>4578</v>
      </c>
      <c r="H1381" s="6" t="s">
        <v>40</v>
      </c>
      <c r="I1381" s="6" t="s">
        <v>353</v>
      </c>
      <c r="J1381" s="6" t="s">
        <v>1962</v>
      </c>
      <c r="K1381" s="6" t="s">
        <v>40</v>
      </c>
      <c r="L1381" s="7">
        <v>45536</v>
      </c>
      <c r="M1381" s="6" t="s">
        <v>214</v>
      </c>
      <c r="N1381" s="8" t="s">
        <v>4579</v>
      </c>
      <c r="O1381" s="6">
        <f>HYPERLINK("https://docs.wto.org/imrd/directdoc.asp?DDFDocuments/t/G/SPS/NCHL776R1.DOCX", "https://docs.wto.org/imrd/directdoc.asp?DDFDocuments/t/G/SPS/NCHL776R1.DOCX")</f>
      </c>
      <c r="P1381" s="6">
        <f>HYPERLINK("https://docs.wto.org/imrd/directdoc.asp?DDFDocuments/u/G/SPS/NCHL776R1.DOCX", "https://docs.wto.org/imrd/directdoc.asp?DDFDocuments/u/G/SPS/NCHL776R1.DOCX")</f>
      </c>
      <c r="Q1381" s="6">
        <f>HYPERLINK("https://docs.wto.org/imrd/directdoc.asp?DDFDocuments/v/G/SPS/NCHL776R1.DOCX", "https://docs.wto.org/imrd/directdoc.asp?DDFDocuments/v/G/SPS/NCHL776R1.DOCX")</f>
      </c>
    </row>
    <row r="1382">
      <c r="A1382" s="6" t="s">
        <v>2030</v>
      </c>
      <c r="B1382" s="7">
        <v>45476</v>
      </c>
      <c r="C1382" s="6">
        <f>HYPERLINK("https://eping.wto.org/en/Search?viewData= G/TBT/N/UGA/1963"," G/TBT/N/UGA/1963")</f>
      </c>
      <c r="D1382" s="8" t="s">
        <v>4580</v>
      </c>
      <c r="E1382" s="8" t="s">
        <v>4581</v>
      </c>
      <c r="F1382" s="8" t="s">
        <v>4203</v>
      </c>
      <c r="G1382" s="6" t="s">
        <v>4204</v>
      </c>
      <c r="H1382" s="6" t="s">
        <v>4416</v>
      </c>
      <c r="I1382" s="6" t="s">
        <v>134</v>
      </c>
      <c r="J1382" s="6" t="s">
        <v>40</v>
      </c>
      <c r="K1382" s="6"/>
      <c r="L1382" s="7">
        <v>45536</v>
      </c>
      <c r="M1382" s="6" t="s">
        <v>25</v>
      </c>
      <c r="N1382" s="8" t="s">
        <v>4582</v>
      </c>
      <c r="O1382" s="6">
        <f>HYPERLINK("https://docs.wto.org/imrd/directdoc.asp?DDFDocuments/t/G/TBTN24/UGA1963.DOCX", "https://docs.wto.org/imrd/directdoc.asp?DDFDocuments/t/G/TBTN24/UGA1963.DOCX")</f>
      </c>
      <c r="P1382" s="6">
        <f>HYPERLINK("https://docs.wto.org/imrd/directdoc.asp?DDFDocuments/u/G/TBTN24/UGA1963.DOCX", "https://docs.wto.org/imrd/directdoc.asp?DDFDocuments/u/G/TBTN24/UGA1963.DOCX")</f>
      </c>
      <c r="Q1382" s="6">
        <f>HYPERLINK("https://docs.wto.org/imrd/directdoc.asp?DDFDocuments/v/G/TBTN24/UGA1963.DOCX", "https://docs.wto.org/imrd/directdoc.asp?DDFDocuments/v/G/TBTN24/UGA1963.DOCX")</f>
      </c>
    </row>
    <row r="1383">
      <c r="A1383" s="6" t="s">
        <v>2030</v>
      </c>
      <c r="B1383" s="7">
        <v>45476</v>
      </c>
      <c r="C1383" s="6">
        <f>HYPERLINK("https://eping.wto.org/en/Search?viewData= G/TBT/N/BDI/359/Add.1, G/TBT/N/KEN/1439/Add.1, G/TBT/N/RWA/870/Add.1, G/TBT/N/TZA/973/Add.1, G/TBT/N/UGA/1775/Add.1"," G/TBT/N/BDI/359/Add.1, G/TBT/N/KEN/1439/Add.1, G/TBT/N/RWA/870/Add.1, G/TBT/N/TZA/973/Add.1, G/TBT/N/UGA/1775/Add.1")</f>
      </c>
      <c r="D1383" s="8" t="s">
        <v>4529</v>
      </c>
      <c r="E1383" s="8" t="s">
        <v>4530</v>
      </c>
      <c r="F1383" s="8" t="s">
        <v>4531</v>
      </c>
      <c r="G1383" s="6" t="s">
        <v>4532</v>
      </c>
      <c r="H1383" s="6" t="s">
        <v>4527</v>
      </c>
      <c r="I1383" s="6" t="s">
        <v>2338</v>
      </c>
      <c r="J1383" s="6" t="s">
        <v>40</v>
      </c>
      <c r="K1383" s="6"/>
      <c r="L1383" s="7" t="s">
        <v>40</v>
      </c>
      <c r="M1383" s="6" t="s">
        <v>76</v>
      </c>
      <c r="N1383" s="6"/>
      <c r="O1383" s="6">
        <f>HYPERLINK("https://docs.wto.org/imrd/directdoc.asp?DDFDocuments/t/G/TBTN23/BDI359A1.DOCX", "https://docs.wto.org/imrd/directdoc.asp?DDFDocuments/t/G/TBTN23/BDI359A1.DOCX")</f>
      </c>
      <c r="P1383" s="6">
        <f>HYPERLINK("https://docs.wto.org/imrd/directdoc.asp?DDFDocuments/u/G/TBTN23/BDI359A1.DOCX", "https://docs.wto.org/imrd/directdoc.asp?DDFDocuments/u/G/TBTN23/BDI359A1.DOCX")</f>
      </c>
      <c r="Q1383" s="6">
        <f>HYPERLINK("https://docs.wto.org/imrd/directdoc.asp?DDFDocuments/v/G/TBTN23/BDI359A1.DOCX", "https://docs.wto.org/imrd/directdoc.asp?DDFDocuments/v/G/TBTN23/BDI359A1.DOCX")</f>
      </c>
    </row>
    <row r="1384">
      <c r="A1384" s="6" t="s">
        <v>2030</v>
      </c>
      <c r="B1384" s="7">
        <v>45476</v>
      </c>
      <c r="C1384" s="6">
        <f>HYPERLINK("https://eping.wto.org/en/Search?viewData= G/TBT/N/BDI/274/Add.1, G/TBT/N/KEN/1302/Add.1, G/TBT/N/RWA/708/Add.1, G/TBT/N/TZA/827/Add.1, G/TBT/N/UGA/1682/Add.1"," G/TBT/N/BDI/274/Add.1, G/TBT/N/KEN/1302/Add.1, G/TBT/N/RWA/708/Add.1, G/TBT/N/TZA/827/Add.1, G/TBT/N/UGA/1682/Add.1")</f>
      </c>
      <c r="D1384" s="8" t="s">
        <v>4506</v>
      </c>
      <c r="E1384" s="8" t="s">
        <v>4507</v>
      </c>
      <c r="F1384" s="8" t="s">
        <v>4508</v>
      </c>
      <c r="G1384" s="6" t="s">
        <v>4509</v>
      </c>
      <c r="H1384" s="6" t="s">
        <v>208</v>
      </c>
      <c r="I1384" s="6" t="s">
        <v>81</v>
      </c>
      <c r="J1384" s="6" t="s">
        <v>40</v>
      </c>
      <c r="K1384" s="6"/>
      <c r="L1384" s="7" t="s">
        <v>40</v>
      </c>
      <c r="M1384" s="6" t="s">
        <v>76</v>
      </c>
      <c r="N1384" s="6"/>
      <c r="O1384" s="6">
        <f>HYPERLINK("https://docs.wto.org/imrd/directdoc.asp?DDFDocuments/t/G/TBTN22/BDI274A1.DOCX", "https://docs.wto.org/imrd/directdoc.asp?DDFDocuments/t/G/TBTN22/BDI274A1.DOCX")</f>
      </c>
      <c r="P1384" s="6">
        <f>HYPERLINK("https://docs.wto.org/imrd/directdoc.asp?DDFDocuments/u/G/TBTN22/BDI274A1.DOCX", "https://docs.wto.org/imrd/directdoc.asp?DDFDocuments/u/G/TBTN22/BDI274A1.DOCX")</f>
      </c>
      <c r="Q1384" s="6">
        <f>HYPERLINK("https://docs.wto.org/imrd/directdoc.asp?DDFDocuments/v/G/TBTN22/BDI274A1.DOCX", "https://docs.wto.org/imrd/directdoc.asp?DDFDocuments/v/G/TBTN22/BDI274A1.DOCX")</f>
      </c>
    </row>
    <row r="1385">
      <c r="A1385" s="6" t="s">
        <v>2024</v>
      </c>
      <c r="B1385" s="7">
        <v>45476</v>
      </c>
      <c r="C1385" s="6">
        <f>HYPERLINK("https://eping.wto.org/en/Search?viewData= G/TBT/N/BDI/333/Add.1, G/TBT/N/KEN/1395/Add.1, G/TBT/N/RWA/840/Add.1, G/TBT/N/TZA/919/Add.1, G/TBT/N/UGA/1748/Add.1"," G/TBT/N/BDI/333/Add.1, G/TBT/N/KEN/1395/Add.1, G/TBT/N/RWA/840/Add.1, G/TBT/N/TZA/919/Add.1, G/TBT/N/UGA/1748/Add.1")</f>
      </c>
      <c r="D1385" s="8" t="s">
        <v>4488</v>
      </c>
      <c r="E1385" s="8" t="s">
        <v>4489</v>
      </c>
      <c r="F1385" s="8" t="s">
        <v>4314</v>
      </c>
      <c r="G1385" s="6" t="s">
        <v>4315</v>
      </c>
      <c r="H1385" s="6" t="s">
        <v>320</v>
      </c>
      <c r="I1385" s="6" t="s">
        <v>3280</v>
      </c>
      <c r="J1385" s="6" t="s">
        <v>122</v>
      </c>
      <c r="K1385" s="6"/>
      <c r="L1385" s="7" t="s">
        <v>40</v>
      </c>
      <c r="M1385" s="6" t="s">
        <v>76</v>
      </c>
      <c r="N1385" s="6"/>
      <c r="O1385" s="6">
        <f>HYPERLINK("https://docs.wto.org/imrd/directdoc.asp?DDFDocuments/t/G/TBTN23/BDI333A1.DOCX", "https://docs.wto.org/imrd/directdoc.asp?DDFDocuments/t/G/TBTN23/BDI333A1.DOCX")</f>
      </c>
      <c r="P1385" s="6">
        <f>HYPERLINK("https://docs.wto.org/imrd/directdoc.asp?DDFDocuments/u/G/TBTN23/BDI333A1.DOCX", "https://docs.wto.org/imrd/directdoc.asp?DDFDocuments/u/G/TBTN23/BDI333A1.DOCX")</f>
      </c>
      <c r="Q1385" s="6">
        <f>HYPERLINK("https://docs.wto.org/imrd/directdoc.asp?DDFDocuments/v/G/TBTN23/BDI333A1.DOCX", "https://docs.wto.org/imrd/directdoc.asp?DDFDocuments/v/G/TBTN23/BDI333A1.DOCX")</f>
      </c>
    </row>
    <row r="1386">
      <c r="A1386" s="6" t="s">
        <v>880</v>
      </c>
      <c r="B1386" s="7">
        <v>45476</v>
      </c>
      <c r="C1386" s="6">
        <f>HYPERLINK("https://eping.wto.org/en/Search?viewData= G/TBT/N/BDI/338/Add.1, G/TBT/N/KEN/1400/Add.1, G/TBT/N/RWA/845/Add.1, G/TBT/N/TZA/924/Add.1, G/TBT/N/UGA/1753/Add.1"," G/TBT/N/BDI/338/Add.1, G/TBT/N/KEN/1400/Add.1, G/TBT/N/RWA/845/Add.1, G/TBT/N/TZA/924/Add.1, G/TBT/N/UGA/1753/Add.1")</f>
      </c>
      <c r="D1386" s="8" t="s">
        <v>4557</v>
      </c>
      <c r="E1386" s="8" t="s">
        <v>4558</v>
      </c>
      <c r="F1386" s="8" t="s">
        <v>4298</v>
      </c>
      <c r="G1386" s="6" t="s">
        <v>4299</v>
      </c>
      <c r="H1386" s="6" t="s">
        <v>3048</v>
      </c>
      <c r="I1386" s="6" t="s">
        <v>4522</v>
      </c>
      <c r="J1386" s="6" t="s">
        <v>4559</v>
      </c>
      <c r="K1386" s="6"/>
      <c r="L1386" s="7" t="s">
        <v>40</v>
      </c>
      <c r="M1386" s="6" t="s">
        <v>76</v>
      </c>
      <c r="N1386" s="6"/>
      <c r="O1386" s="6">
        <f>HYPERLINK("https://docs.wto.org/imrd/directdoc.asp?DDFDocuments/t/G/TBTN23/BDI338A1.DOCX", "https://docs.wto.org/imrd/directdoc.asp?DDFDocuments/t/G/TBTN23/BDI338A1.DOCX")</f>
      </c>
      <c r="P1386" s="6">
        <f>HYPERLINK("https://docs.wto.org/imrd/directdoc.asp?DDFDocuments/u/G/TBTN23/BDI338A1.DOCX", "https://docs.wto.org/imrd/directdoc.asp?DDFDocuments/u/G/TBTN23/BDI338A1.DOCX")</f>
      </c>
      <c r="Q1386" s="6">
        <f>HYPERLINK("https://docs.wto.org/imrd/directdoc.asp?DDFDocuments/v/G/TBTN23/BDI338A1.DOCX", "https://docs.wto.org/imrd/directdoc.asp?DDFDocuments/v/G/TBTN23/BDI338A1.DOCX")</f>
      </c>
    </row>
    <row r="1387">
      <c r="A1387" s="6" t="s">
        <v>880</v>
      </c>
      <c r="B1387" s="7">
        <v>45476</v>
      </c>
      <c r="C1387" s="6">
        <f>HYPERLINK("https://eping.wto.org/en/Search?viewData= G/TBT/N/BDI/329/Add.1, G/TBT/N/KEN/1391/Add.1, G/TBT/N/RWA/836/Add.1, G/TBT/N/TZA/915/Add.1, G/TBT/N/UGA/1744/Add.1"," G/TBT/N/BDI/329/Add.1, G/TBT/N/KEN/1391/Add.1, G/TBT/N/RWA/836/Add.1, G/TBT/N/TZA/915/Add.1, G/TBT/N/UGA/1744/Add.1")</f>
      </c>
      <c r="D1387" s="8" t="s">
        <v>4327</v>
      </c>
      <c r="E1387" s="8" t="s">
        <v>4521</v>
      </c>
      <c r="F1387" s="8" t="s">
        <v>4325</v>
      </c>
      <c r="G1387" s="6" t="s">
        <v>4326</v>
      </c>
      <c r="H1387" s="6" t="s">
        <v>320</v>
      </c>
      <c r="I1387" s="6" t="s">
        <v>4522</v>
      </c>
      <c r="J1387" s="6" t="s">
        <v>122</v>
      </c>
      <c r="K1387" s="6"/>
      <c r="L1387" s="7" t="s">
        <v>40</v>
      </c>
      <c r="M1387" s="6" t="s">
        <v>76</v>
      </c>
      <c r="N1387" s="6"/>
      <c r="O1387" s="6">
        <f>HYPERLINK("https://docs.wto.org/imrd/directdoc.asp?DDFDocuments/t/G/TBTN23/BDI329A1.DOCX", "https://docs.wto.org/imrd/directdoc.asp?DDFDocuments/t/G/TBTN23/BDI329A1.DOCX")</f>
      </c>
      <c r="P1387" s="6">
        <f>HYPERLINK("https://docs.wto.org/imrd/directdoc.asp?DDFDocuments/u/G/TBTN23/BDI329A1.DOCX", "https://docs.wto.org/imrd/directdoc.asp?DDFDocuments/u/G/TBTN23/BDI329A1.DOCX")</f>
      </c>
      <c r="Q1387" s="6">
        <f>HYPERLINK("https://docs.wto.org/imrd/directdoc.asp?DDFDocuments/v/G/TBTN23/BDI329A1.DOCX", "https://docs.wto.org/imrd/directdoc.asp?DDFDocuments/v/G/TBTN23/BDI329A1.DOCX")</f>
      </c>
    </row>
    <row r="1388">
      <c r="A1388" s="6" t="s">
        <v>880</v>
      </c>
      <c r="B1388" s="7">
        <v>45476</v>
      </c>
      <c r="C1388" s="6">
        <f>HYPERLINK("https://eping.wto.org/en/Search?viewData= G/TBT/N/BDI/345/Add.1, G/TBT/N/KEN/1413/Add.1, G/TBT/N/RWA/852/Add.1, G/TBT/N/TZA/935/Add.1, G/TBT/N/UGA/1761/Add.1"," G/TBT/N/BDI/345/Add.1, G/TBT/N/KEN/1413/Add.1, G/TBT/N/RWA/852/Add.1, G/TBT/N/TZA/935/Add.1, G/TBT/N/UGA/1761/Add.1")</f>
      </c>
      <c r="D1388" s="8" t="s">
        <v>4571</v>
      </c>
      <c r="E1388" s="8" t="s">
        <v>4572</v>
      </c>
      <c r="F1388" s="8" t="s">
        <v>4573</v>
      </c>
      <c r="G1388" s="6" t="s">
        <v>4574</v>
      </c>
      <c r="H1388" s="6" t="s">
        <v>4519</v>
      </c>
      <c r="I1388" s="6" t="s">
        <v>4544</v>
      </c>
      <c r="J1388" s="6" t="s">
        <v>40</v>
      </c>
      <c r="K1388" s="6"/>
      <c r="L1388" s="7" t="s">
        <v>40</v>
      </c>
      <c r="M1388" s="6" t="s">
        <v>76</v>
      </c>
      <c r="N1388" s="6"/>
      <c r="O1388" s="6">
        <f>HYPERLINK("https://docs.wto.org/imrd/directdoc.asp?DDFDocuments/t/G/TBTN23/BDI345A1.DOCX", "https://docs.wto.org/imrd/directdoc.asp?DDFDocuments/t/G/TBTN23/BDI345A1.DOCX")</f>
      </c>
      <c r="P1388" s="6">
        <f>HYPERLINK("https://docs.wto.org/imrd/directdoc.asp?DDFDocuments/u/G/TBTN23/BDI345A1.DOCX", "https://docs.wto.org/imrd/directdoc.asp?DDFDocuments/u/G/TBTN23/BDI345A1.DOCX")</f>
      </c>
      <c r="Q1388" s="6">
        <f>HYPERLINK("https://docs.wto.org/imrd/directdoc.asp?DDFDocuments/v/G/TBTN23/BDI345A1.DOCX", "https://docs.wto.org/imrd/directdoc.asp?DDFDocuments/v/G/TBTN23/BDI345A1.DOCX")</f>
      </c>
    </row>
    <row r="1389">
      <c r="A1389" s="6" t="s">
        <v>880</v>
      </c>
      <c r="B1389" s="7">
        <v>45476</v>
      </c>
      <c r="C1389" s="6">
        <f>HYPERLINK("https://eping.wto.org/en/Search?viewData= G/TBT/N/BDI/365/Add.1, G/TBT/N/KEN/1445/Add.1, G/TBT/N/RWA/876/Add.1, G/TBT/N/TZA/979/Add.1, G/TBT/N/UGA/1782/Add.1"," G/TBT/N/BDI/365/Add.1, G/TBT/N/KEN/1445/Add.1, G/TBT/N/RWA/876/Add.1, G/TBT/N/TZA/979/Add.1, G/TBT/N/UGA/1782/Add.1")</f>
      </c>
      <c r="D1389" s="8" t="s">
        <v>4501</v>
      </c>
      <c r="E1389" s="8" t="s">
        <v>4502</v>
      </c>
      <c r="F1389" s="8" t="s">
        <v>4503</v>
      </c>
      <c r="G1389" s="6" t="s">
        <v>4504</v>
      </c>
      <c r="H1389" s="6" t="s">
        <v>4505</v>
      </c>
      <c r="I1389" s="6" t="s">
        <v>4490</v>
      </c>
      <c r="J1389" s="6" t="s">
        <v>40</v>
      </c>
      <c r="K1389" s="6"/>
      <c r="L1389" s="7" t="s">
        <v>40</v>
      </c>
      <c r="M1389" s="6" t="s">
        <v>76</v>
      </c>
      <c r="N1389" s="6"/>
      <c r="O1389" s="6">
        <f>HYPERLINK("https://docs.wto.org/imrd/directdoc.asp?DDFDocuments/t/G/TBTN23/BDI365A1.DOCX", "https://docs.wto.org/imrd/directdoc.asp?DDFDocuments/t/G/TBTN23/BDI365A1.DOCX")</f>
      </c>
      <c r="P1389" s="6">
        <f>HYPERLINK("https://docs.wto.org/imrd/directdoc.asp?DDFDocuments/u/G/TBTN23/BDI365A1.DOCX", "https://docs.wto.org/imrd/directdoc.asp?DDFDocuments/u/G/TBTN23/BDI365A1.DOCX")</f>
      </c>
      <c r="Q1389" s="6">
        <f>HYPERLINK("https://docs.wto.org/imrd/directdoc.asp?DDFDocuments/v/G/TBTN23/BDI365A1.DOCX", "https://docs.wto.org/imrd/directdoc.asp?DDFDocuments/v/G/TBTN23/BDI365A1.DOCX")</f>
      </c>
    </row>
    <row r="1390">
      <c r="A1390" s="6" t="s">
        <v>880</v>
      </c>
      <c r="B1390" s="7">
        <v>45476</v>
      </c>
      <c r="C1390" s="6">
        <f>HYPERLINK("https://eping.wto.org/en/Search?viewData= G/TBT/N/BDI/304/Add.1, G/TBT/N/KEN/1346/Add.1, G/TBT/N/RWA/745/Add.1, G/TBT/N/TZA/868/Add.1, G/TBT/N/UGA/1713/Add.1"," G/TBT/N/BDI/304/Add.1, G/TBT/N/KEN/1346/Add.1, G/TBT/N/RWA/745/Add.1, G/TBT/N/TZA/868/Add.1, G/TBT/N/UGA/1713/Add.1")</f>
      </c>
      <c r="D1390" s="8" t="s">
        <v>4553</v>
      </c>
      <c r="E1390" s="8" t="s">
        <v>4554</v>
      </c>
      <c r="F1390" s="8" t="s">
        <v>4512</v>
      </c>
      <c r="G1390" s="6" t="s">
        <v>3363</v>
      </c>
      <c r="H1390" s="6" t="s">
        <v>3364</v>
      </c>
      <c r="I1390" s="6" t="s">
        <v>4555</v>
      </c>
      <c r="J1390" s="6" t="s">
        <v>40</v>
      </c>
      <c r="K1390" s="6"/>
      <c r="L1390" s="7" t="s">
        <v>40</v>
      </c>
      <c r="M1390" s="6" t="s">
        <v>76</v>
      </c>
      <c r="N1390" s="6"/>
      <c r="O1390" s="6">
        <f>HYPERLINK("https://docs.wto.org/imrd/directdoc.asp?DDFDocuments/t/G/TBTN22/BDI304A1.DOCX", "https://docs.wto.org/imrd/directdoc.asp?DDFDocuments/t/G/TBTN22/BDI304A1.DOCX")</f>
      </c>
      <c r="P1390" s="6">
        <f>HYPERLINK("https://docs.wto.org/imrd/directdoc.asp?DDFDocuments/u/G/TBTN22/BDI304A1.DOCX", "https://docs.wto.org/imrd/directdoc.asp?DDFDocuments/u/G/TBTN22/BDI304A1.DOCX")</f>
      </c>
      <c r="Q1390" s="6">
        <f>HYPERLINK("https://docs.wto.org/imrd/directdoc.asp?DDFDocuments/v/G/TBTN22/BDI304A1.DOCX", "https://docs.wto.org/imrd/directdoc.asp?DDFDocuments/v/G/TBTN22/BDI304A1.DOCX")</f>
      </c>
    </row>
    <row r="1391">
      <c r="A1391" s="6" t="s">
        <v>880</v>
      </c>
      <c r="B1391" s="7">
        <v>45476</v>
      </c>
      <c r="C1391" s="6">
        <f>HYPERLINK("https://eping.wto.org/en/Search?viewData= G/TBT/N/BDI/305/Add.1, G/TBT/N/KEN/1347/Add.1, G/TBT/N/RWA/746/Add.1, G/TBT/N/TZA/869/Add.1, G/TBT/N/UGA/1714/Add.1"," G/TBT/N/BDI/305/Add.1, G/TBT/N/KEN/1347/Add.1, G/TBT/N/RWA/746/Add.1, G/TBT/N/TZA/869/Add.1, G/TBT/N/UGA/1714/Add.1")</f>
      </c>
      <c r="D1391" s="8" t="s">
        <v>4510</v>
      </c>
      <c r="E1391" s="8" t="s">
        <v>4511</v>
      </c>
      <c r="F1391" s="8" t="s">
        <v>4512</v>
      </c>
      <c r="G1391" s="6" t="s">
        <v>3363</v>
      </c>
      <c r="H1391" s="6" t="s">
        <v>3364</v>
      </c>
      <c r="I1391" s="6" t="s">
        <v>4490</v>
      </c>
      <c r="J1391" s="6" t="s">
        <v>40</v>
      </c>
      <c r="K1391" s="6"/>
      <c r="L1391" s="7" t="s">
        <v>40</v>
      </c>
      <c r="M1391" s="6" t="s">
        <v>76</v>
      </c>
      <c r="N1391" s="6"/>
      <c r="O1391" s="6">
        <f>HYPERLINK("https://docs.wto.org/imrd/directdoc.asp?DDFDocuments/t/G/TBTN22/BDI305A1.DOCX", "https://docs.wto.org/imrd/directdoc.asp?DDFDocuments/t/G/TBTN22/BDI305A1.DOCX")</f>
      </c>
      <c r="P1391" s="6">
        <f>HYPERLINK("https://docs.wto.org/imrd/directdoc.asp?DDFDocuments/u/G/TBTN22/BDI305A1.DOCX", "https://docs.wto.org/imrd/directdoc.asp?DDFDocuments/u/G/TBTN22/BDI305A1.DOCX")</f>
      </c>
      <c r="Q1391" s="6">
        <f>HYPERLINK("https://docs.wto.org/imrd/directdoc.asp?DDFDocuments/v/G/TBTN22/BDI305A1.DOCX", "https://docs.wto.org/imrd/directdoc.asp?DDFDocuments/v/G/TBTN22/BDI305A1.DOCX")</f>
      </c>
    </row>
    <row r="1392">
      <c r="A1392" s="6" t="s">
        <v>450</v>
      </c>
      <c r="B1392" s="7">
        <v>45476</v>
      </c>
      <c r="C1392" s="6">
        <f>HYPERLINK("https://eping.wto.org/en/Search?viewData= G/SPS/N/EGY/39/Add.8"," G/SPS/N/EGY/39/Add.8")</f>
      </c>
      <c r="D1392" s="8" t="s">
        <v>4583</v>
      </c>
      <c r="E1392" s="8" t="s">
        <v>4584</v>
      </c>
      <c r="F1392" s="8" t="s">
        <v>4585</v>
      </c>
      <c r="G1392" s="6" t="s">
        <v>4586</v>
      </c>
      <c r="H1392" s="6" t="s">
        <v>40</v>
      </c>
      <c r="I1392" s="6" t="s">
        <v>38</v>
      </c>
      <c r="J1392" s="6" t="s">
        <v>1387</v>
      </c>
      <c r="K1392" s="6"/>
      <c r="L1392" s="7" t="s">
        <v>40</v>
      </c>
      <c r="M1392" s="6" t="s">
        <v>76</v>
      </c>
      <c r="N1392" s="6"/>
      <c r="O1392" s="6">
        <f>HYPERLINK("https://docs.wto.org/imrd/directdoc.asp?DDFDocuments/t/G/SPS/NEGY39A8.DOCX", "https://docs.wto.org/imrd/directdoc.asp?DDFDocuments/t/G/SPS/NEGY39A8.DOCX")</f>
      </c>
      <c r="P1392" s="6">
        <f>HYPERLINK("https://docs.wto.org/imrd/directdoc.asp?DDFDocuments/u/G/SPS/NEGY39A8.DOCX", "https://docs.wto.org/imrd/directdoc.asp?DDFDocuments/u/G/SPS/NEGY39A8.DOCX")</f>
      </c>
      <c r="Q1392" s="6">
        <f>HYPERLINK("https://docs.wto.org/imrd/directdoc.asp?DDFDocuments/v/G/SPS/NEGY39A8.DOCX", "https://docs.wto.org/imrd/directdoc.asp?DDFDocuments/v/G/SPS/NEGY39A8.DOCX")</f>
      </c>
    </row>
    <row r="1393">
      <c r="A1393" s="6" t="s">
        <v>115</v>
      </c>
      <c r="B1393" s="7">
        <v>45476</v>
      </c>
      <c r="C1393" s="6">
        <f>HYPERLINK("https://eping.wto.org/en/Search?viewData= G/SPS/N/BRA/2032/Add.4"," G/SPS/N/BRA/2032/Add.4")</f>
      </c>
      <c r="D1393" s="8" t="s">
        <v>4587</v>
      </c>
      <c r="E1393" s="8" t="s">
        <v>4588</v>
      </c>
      <c r="F1393" s="8" t="s">
        <v>4589</v>
      </c>
      <c r="G1393" s="6" t="s">
        <v>2617</v>
      </c>
      <c r="H1393" s="6" t="s">
        <v>40</v>
      </c>
      <c r="I1393" s="6" t="s">
        <v>184</v>
      </c>
      <c r="J1393" s="6" t="s">
        <v>4590</v>
      </c>
      <c r="K1393" s="6"/>
      <c r="L1393" s="7" t="s">
        <v>40</v>
      </c>
      <c r="M1393" s="6" t="s">
        <v>76</v>
      </c>
      <c r="N1393" s="8" t="s">
        <v>4591</v>
      </c>
      <c r="O1393" s="6">
        <f>HYPERLINK("https://docs.wto.org/imrd/directdoc.asp?DDFDocuments/t/G/SPS/NBRA2032A4.DOCX", "https://docs.wto.org/imrd/directdoc.asp?DDFDocuments/t/G/SPS/NBRA2032A4.DOCX")</f>
      </c>
      <c r="P1393" s="6">
        <f>HYPERLINK("https://docs.wto.org/imrd/directdoc.asp?DDFDocuments/u/G/SPS/NBRA2032A4.DOCX", "https://docs.wto.org/imrd/directdoc.asp?DDFDocuments/u/G/SPS/NBRA2032A4.DOCX")</f>
      </c>
      <c r="Q1393" s="6">
        <f>HYPERLINK("https://docs.wto.org/imrd/directdoc.asp?DDFDocuments/v/G/SPS/NBRA2032A4.DOCX", "https://docs.wto.org/imrd/directdoc.asp?DDFDocuments/v/G/SPS/NBRA2032A4.DOCX")</f>
      </c>
    </row>
    <row r="1394">
      <c r="A1394" s="6" t="s">
        <v>2030</v>
      </c>
      <c r="B1394" s="7">
        <v>45476</v>
      </c>
      <c r="C1394" s="6">
        <f>HYPERLINK("https://eping.wto.org/en/Search?viewData= G/TBT/N/BDI/333/Add.1, G/TBT/N/KEN/1395/Add.1, G/TBT/N/RWA/840/Add.1, G/TBT/N/TZA/919/Add.1, G/TBT/N/UGA/1748/Add.1"," G/TBT/N/BDI/333/Add.1, G/TBT/N/KEN/1395/Add.1, G/TBT/N/RWA/840/Add.1, G/TBT/N/TZA/919/Add.1, G/TBT/N/UGA/1748/Add.1")</f>
      </c>
      <c r="D1394" s="8" t="s">
        <v>4488</v>
      </c>
      <c r="E1394" s="8" t="s">
        <v>4489</v>
      </c>
      <c r="F1394" s="8" t="s">
        <v>4314</v>
      </c>
      <c r="G1394" s="6" t="s">
        <v>4315</v>
      </c>
      <c r="H1394" s="6" t="s">
        <v>320</v>
      </c>
      <c r="I1394" s="6" t="s">
        <v>81</v>
      </c>
      <c r="J1394" s="6" t="s">
        <v>122</v>
      </c>
      <c r="K1394" s="6"/>
      <c r="L1394" s="7" t="s">
        <v>40</v>
      </c>
      <c r="M1394" s="6" t="s">
        <v>76</v>
      </c>
      <c r="N1394" s="6"/>
      <c r="O1394" s="6">
        <f>HYPERLINK("https://docs.wto.org/imrd/directdoc.asp?DDFDocuments/t/G/TBTN23/BDI333A1.DOCX", "https://docs.wto.org/imrd/directdoc.asp?DDFDocuments/t/G/TBTN23/BDI333A1.DOCX")</f>
      </c>
      <c r="P1394" s="6">
        <f>HYPERLINK("https://docs.wto.org/imrd/directdoc.asp?DDFDocuments/u/G/TBTN23/BDI333A1.DOCX", "https://docs.wto.org/imrd/directdoc.asp?DDFDocuments/u/G/TBTN23/BDI333A1.DOCX")</f>
      </c>
      <c r="Q1394" s="6">
        <f>HYPERLINK("https://docs.wto.org/imrd/directdoc.asp?DDFDocuments/v/G/TBTN23/BDI333A1.DOCX", "https://docs.wto.org/imrd/directdoc.asp?DDFDocuments/v/G/TBTN23/BDI333A1.DOCX")</f>
      </c>
    </row>
    <row r="1395">
      <c r="A1395" s="6" t="s">
        <v>17</v>
      </c>
      <c r="B1395" s="7">
        <v>45476</v>
      </c>
      <c r="C1395" s="6">
        <f>HYPERLINK("https://eping.wto.org/en/Search?viewData= G/TBT/N/BDI/333/Add.1, G/TBT/N/KEN/1395/Add.1, G/TBT/N/RWA/840/Add.1, G/TBT/N/TZA/919/Add.1, G/TBT/N/UGA/1748/Add.1"," G/TBT/N/BDI/333/Add.1, G/TBT/N/KEN/1395/Add.1, G/TBT/N/RWA/840/Add.1, G/TBT/N/TZA/919/Add.1, G/TBT/N/UGA/1748/Add.1")</f>
      </c>
      <c r="D1395" s="8" t="s">
        <v>4488</v>
      </c>
      <c r="E1395" s="8" t="s">
        <v>4489</v>
      </c>
      <c r="F1395" s="8" t="s">
        <v>4314</v>
      </c>
      <c r="G1395" s="6" t="s">
        <v>4315</v>
      </c>
      <c r="H1395" s="6" t="s">
        <v>320</v>
      </c>
      <c r="I1395" s="6" t="s">
        <v>3280</v>
      </c>
      <c r="J1395" s="6" t="s">
        <v>122</v>
      </c>
      <c r="K1395" s="6"/>
      <c r="L1395" s="7" t="s">
        <v>40</v>
      </c>
      <c r="M1395" s="6" t="s">
        <v>76</v>
      </c>
      <c r="N1395" s="6"/>
      <c r="O1395" s="6">
        <f>HYPERLINK("https://docs.wto.org/imrd/directdoc.asp?DDFDocuments/t/G/TBTN23/BDI333A1.DOCX", "https://docs.wto.org/imrd/directdoc.asp?DDFDocuments/t/G/TBTN23/BDI333A1.DOCX")</f>
      </c>
      <c r="P1395" s="6">
        <f>HYPERLINK("https://docs.wto.org/imrd/directdoc.asp?DDFDocuments/u/G/TBTN23/BDI333A1.DOCX", "https://docs.wto.org/imrd/directdoc.asp?DDFDocuments/u/G/TBTN23/BDI333A1.DOCX")</f>
      </c>
      <c r="Q1395" s="6">
        <f>HYPERLINK("https://docs.wto.org/imrd/directdoc.asp?DDFDocuments/v/G/TBTN23/BDI333A1.DOCX", "https://docs.wto.org/imrd/directdoc.asp?DDFDocuments/v/G/TBTN23/BDI333A1.DOCX")</f>
      </c>
    </row>
    <row r="1396">
      <c r="A1396" s="6" t="s">
        <v>2024</v>
      </c>
      <c r="B1396" s="7">
        <v>45476</v>
      </c>
      <c r="C1396" s="6">
        <f>HYPERLINK("https://eping.wto.org/en/Search?viewData= G/TBT/N/BDI/337/Add.1, G/TBT/N/KEN/1399/Add.1, G/TBT/N/RWA/844/Add.1, G/TBT/N/TZA/923/Add.1, G/TBT/N/UGA/1752/Add.1"," G/TBT/N/BDI/337/Add.1, G/TBT/N/KEN/1399/Add.1, G/TBT/N/RWA/844/Add.1, G/TBT/N/TZA/923/Add.1, G/TBT/N/UGA/1752/Add.1")</f>
      </c>
      <c r="D1396" s="8" t="s">
        <v>4474</v>
      </c>
      <c r="E1396" s="8" t="s">
        <v>4475</v>
      </c>
      <c r="F1396" s="8" t="s">
        <v>4298</v>
      </c>
      <c r="G1396" s="6" t="s">
        <v>4299</v>
      </c>
      <c r="H1396" s="6" t="s">
        <v>3048</v>
      </c>
      <c r="I1396" s="6" t="s">
        <v>4556</v>
      </c>
      <c r="J1396" s="6" t="s">
        <v>3826</v>
      </c>
      <c r="K1396" s="6"/>
      <c r="L1396" s="7" t="s">
        <v>40</v>
      </c>
      <c r="M1396" s="6" t="s">
        <v>76</v>
      </c>
      <c r="N1396" s="6"/>
      <c r="O1396" s="6">
        <f>HYPERLINK("https://docs.wto.org/imrd/directdoc.asp?DDFDocuments/t/G/TBTN23/BDI337A1.DOCX", "https://docs.wto.org/imrd/directdoc.asp?DDFDocuments/t/G/TBTN23/BDI337A1.DOCX")</f>
      </c>
      <c r="P1396" s="6">
        <f>HYPERLINK("https://docs.wto.org/imrd/directdoc.asp?DDFDocuments/u/G/TBTN23/BDI337A1.DOCX", "https://docs.wto.org/imrd/directdoc.asp?DDFDocuments/u/G/TBTN23/BDI337A1.DOCX")</f>
      </c>
      <c r="Q1396" s="6">
        <f>HYPERLINK("https://docs.wto.org/imrd/directdoc.asp?DDFDocuments/v/G/TBTN23/BDI337A1.DOCX", "https://docs.wto.org/imrd/directdoc.asp?DDFDocuments/v/G/TBTN23/BDI337A1.DOCX")</f>
      </c>
    </row>
    <row r="1397">
      <c r="A1397" s="6" t="s">
        <v>2024</v>
      </c>
      <c r="B1397" s="7">
        <v>45476</v>
      </c>
      <c r="C1397" s="6">
        <f>HYPERLINK("https://eping.wto.org/en/Search?viewData= G/TBT/N/BDI/338/Add.1, G/TBT/N/KEN/1400/Add.1, G/TBT/N/RWA/845/Add.1, G/TBT/N/TZA/924/Add.1, G/TBT/N/UGA/1753/Add.1"," G/TBT/N/BDI/338/Add.1, G/TBT/N/KEN/1400/Add.1, G/TBT/N/RWA/845/Add.1, G/TBT/N/TZA/924/Add.1, G/TBT/N/UGA/1753/Add.1")</f>
      </c>
      <c r="D1397" s="8" t="s">
        <v>4557</v>
      </c>
      <c r="E1397" s="8" t="s">
        <v>4558</v>
      </c>
      <c r="F1397" s="8" t="s">
        <v>4298</v>
      </c>
      <c r="G1397" s="6" t="s">
        <v>4299</v>
      </c>
      <c r="H1397" s="6" t="s">
        <v>3048</v>
      </c>
      <c r="I1397" s="6" t="s">
        <v>4522</v>
      </c>
      <c r="J1397" s="6" t="s">
        <v>4559</v>
      </c>
      <c r="K1397" s="6"/>
      <c r="L1397" s="7" t="s">
        <v>40</v>
      </c>
      <c r="M1397" s="6" t="s">
        <v>76</v>
      </c>
      <c r="N1397" s="6"/>
      <c r="O1397" s="6">
        <f>HYPERLINK("https://docs.wto.org/imrd/directdoc.asp?DDFDocuments/t/G/TBTN23/BDI338A1.DOCX", "https://docs.wto.org/imrd/directdoc.asp?DDFDocuments/t/G/TBTN23/BDI338A1.DOCX")</f>
      </c>
      <c r="P1397" s="6">
        <f>HYPERLINK("https://docs.wto.org/imrd/directdoc.asp?DDFDocuments/u/G/TBTN23/BDI338A1.DOCX", "https://docs.wto.org/imrd/directdoc.asp?DDFDocuments/u/G/TBTN23/BDI338A1.DOCX")</f>
      </c>
      <c r="Q1397" s="6">
        <f>HYPERLINK("https://docs.wto.org/imrd/directdoc.asp?DDFDocuments/v/G/TBTN23/BDI338A1.DOCX", "https://docs.wto.org/imrd/directdoc.asp?DDFDocuments/v/G/TBTN23/BDI338A1.DOCX")</f>
      </c>
    </row>
    <row r="1398">
      <c r="A1398" s="6" t="s">
        <v>2024</v>
      </c>
      <c r="B1398" s="7">
        <v>45476</v>
      </c>
      <c r="C1398" s="6">
        <f>HYPERLINK("https://eping.wto.org/en/Search?viewData= G/TBT/N/BDI/340/Add.1, G/TBT/N/KEN/1403/Add.1, G/TBT/N/RWA/847/Add.1, G/TBT/N/TZA/926/Add.1, G/TBT/N/UGA/1755/Add.1"," G/TBT/N/BDI/340/Add.1, G/TBT/N/KEN/1403/Add.1, G/TBT/N/RWA/847/Add.1, G/TBT/N/TZA/926/Add.1, G/TBT/N/UGA/1755/Add.1")</f>
      </c>
      <c r="D1398" s="8" t="s">
        <v>4491</v>
      </c>
      <c r="E1398" s="8" t="s">
        <v>4492</v>
      </c>
      <c r="F1398" s="8" t="s">
        <v>4493</v>
      </c>
      <c r="G1398" s="6" t="s">
        <v>4494</v>
      </c>
      <c r="H1398" s="6" t="s">
        <v>4495</v>
      </c>
      <c r="I1398" s="6" t="s">
        <v>4496</v>
      </c>
      <c r="J1398" s="6" t="s">
        <v>40</v>
      </c>
      <c r="K1398" s="6"/>
      <c r="L1398" s="7" t="s">
        <v>40</v>
      </c>
      <c r="M1398" s="6" t="s">
        <v>76</v>
      </c>
      <c r="N1398" s="6"/>
      <c r="O1398" s="6">
        <f>HYPERLINK("https://docs.wto.org/imrd/directdoc.asp?DDFDocuments/t/G/TBTN23/BDI340A1.DOCX", "https://docs.wto.org/imrd/directdoc.asp?DDFDocuments/t/G/TBTN23/BDI340A1.DOCX")</f>
      </c>
      <c r="P1398" s="6">
        <f>HYPERLINK("https://docs.wto.org/imrd/directdoc.asp?DDFDocuments/u/G/TBTN23/BDI340A1.DOCX", "https://docs.wto.org/imrd/directdoc.asp?DDFDocuments/u/G/TBTN23/BDI340A1.DOCX")</f>
      </c>
      <c r="Q1398" s="6">
        <f>HYPERLINK("https://docs.wto.org/imrd/directdoc.asp?DDFDocuments/v/G/TBTN23/BDI340A1.DOCX", "https://docs.wto.org/imrd/directdoc.asp?DDFDocuments/v/G/TBTN23/BDI340A1.DOCX")</f>
      </c>
    </row>
    <row r="1399">
      <c r="A1399" s="6" t="s">
        <v>2024</v>
      </c>
      <c r="B1399" s="7">
        <v>45476</v>
      </c>
      <c r="C1399" s="6">
        <f>HYPERLINK("https://eping.wto.org/en/Search?viewData= G/TBT/N/BDI/345/Add.1, G/TBT/N/KEN/1413/Add.1, G/TBT/N/RWA/852/Add.1, G/TBT/N/TZA/935/Add.1, G/TBT/N/UGA/1761/Add.1"," G/TBT/N/BDI/345/Add.1, G/TBT/N/KEN/1413/Add.1, G/TBT/N/RWA/852/Add.1, G/TBT/N/TZA/935/Add.1, G/TBT/N/UGA/1761/Add.1")</f>
      </c>
      <c r="D1399" s="8" t="s">
        <v>4571</v>
      </c>
      <c r="E1399" s="8" t="s">
        <v>4572</v>
      </c>
      <c r="F1399" s="8" t="s">
        <v>4573</v>
      </c>
      <c r="G1399" s="6" t="s">
        <v>4574</v>
      </c>
      <c r="H1399" s="6" t="s">
        <v>4519</v>
      </c>
      <c r="I1399" s="6" t="s">
        <v>4544</v>
      </c>
      <c r="J1399" s="6" t="s">
        <v>40</v>
      </c>
      <c r="K1399" s="6"/>
      <c r="L1399" s="7" t="s">
        <v>40</v>
      </c>
      <c r="M1399" s="6" t="s">
        <v>76</v>
      </c>
      <c r="N1399" s="6"/>
      <c r="O1399" s="6">
        <f>HYPERLINK("https://docs.wto.org/imrd/directdoc.asp?DDFDocuments/t/G/TBTN23/BDI345A1.DOCX", "https://docs.wto.org/imrd/directdoc.asp?DDFDocuments/t/G/TBTN23/BDI345A1.DOCX")</f>
      </c>
      <c r="P1399" s="6">
        <f>HYPERLINK("https://docs.wto.org/imrd/directdoc.asp?DDFDocuments/u/G/TBTN23/BDI345A1.DOCX", "https://docs.wto.org/imrd/directdoc.asp?DDFDocuments/u/G/TBTN23/BDI345A1.DOCX")</f>
      </c>
      <c r="Q1399" s="6">
        <f>HYPERLINK("https://docs.wto.org/imrd/directdoc.asp?DDFDocuments/v/G/TBTN23/BDI345A1.DOCX", "https://docs.wto.org/imrd/directdoc.asp?DDFDocuments/v/G/TBTN23/BDI345A1.DOCX")</f>
      </c>
    </row>
    <row r="1400">
      <c r="A1400" s="6" t="s">
        <v>2041</v>
      </c>
      <c r="B1400" s="7">
        <v>45476</v>
      </c>
      <c r="C1400" s="6">
        <f>HYPERLINK("https://eping.wto.org/en/Search?viewData= G/TBT/N/BDI/368/Add.1, G/TBT/N/KEN/1448/Add.1, G/TBT/N/RWA/879/Add.1, G/TBT/N/TZA/982/Add.1, G/TBT/N/UGA/1785/Add.1"," G/TBT/N/BDI/368/Add.1, G/TBT/N/KEN/1448/Add.1, G/TBT/N/RWA/879/Add.1, G/TBT/N/TZA/982/Add.1, G/TBT/N/UGA/1785/Add.1")</f>
      </c>
      <c r="D1400" s="8" t="s">
        <v>4560</v>
      </c>
      <c r="E1400" s="8" t="s">
        <v>4561</v>
      </c>
      <c r="F1400" s="8" t="s">
        <v>4562</v>
      </c>
      <c r="G1400" s="6" t="s">
        <v>4563</v>
      </c>
      <c r="H1400" s="6" t="s">
        <v>208</v>
      </c>
      <c r="I1400" s="6" t="s">
        <v>3280</v>
      </c>
      <c r="J1400" s="6" t="s">
        <v>40</v>
      </c>
      <c r="K1400" s="6"/>
      <c r="L1400" s="7" t="s">
        <v>40</v>
      </c>
      <c r="M1400" s="6" t="s">
        <v>76</v>
      </c>
      <c r="N1400" s="6"/>
      <c r="O1400" s="6">
        <f>HYPERLINK("https://docs.wto.org/imrd/directdoc.asp?DDFDocuments/t/G/TBTN23/BDI368A1.DOCX", "https://docs.wto.org/imrd/directdoc.asp?DDFDocuments/t/G/TBTN23/BDI368A1.DOCX")</f>
      </c>
      <c r="P1400" s="6">
        <f>HYPERLINK("https://docs.wto.org/imrd/directdoc.asp?DDFDocuments/u/G/TBTN23/BDI368A1.DOCX", "https://docs.wto.org/imrd/directdoc.asp?DDFDocuments/u/G/TBTN23/BDI368A1.DOCX")</f>
      </c>
      <c r="Q1400" s="6">
        <f>HYPERLINK("https://docs.wto.org/imrd/directdoc.asp?DDFDocuments/v/G/TBTN23/BDI368A1.DOCX", "https://docs.wto.org/imrd/directdoc.asp?DDFDocuments/v/G/TBTN23/BDI368A1.DOCX")</f>
      </c>
    </row>
    <row r="1401">
      <c r="A1401" s="6" t="s">
        <v>2041</v>
      </c>
      <c r="B1401" s="7">
        <v>45476</v>
      </c>
      <c r="C1401" s="6">
        <f>HYPERLINK("https://eping.wto.org/en/Search?viewData= G/TBT/N/BDI/367/Add.1, G/TBT/N/KEN/1447/Add.1, G/TBT/N/RWA/878/Add.1, G/TBT/N/TZA/981/Add.1, G/TBT/N/UGA/1784/Add.1"," G/TBT/N/BDI/367/Add.1, G/TBT/N/KEN/1447/Add.1, G/TBT/N/RWA/878/Add.1, G/TBT/N/TZA/981/Add.1, G/TBT/N/UGA/1784/Add.1")</f>
      </c>
      <c r="D1401" s="8" t="s">
        <v>4545</v>
      </c>
      <c r="E1401" s="8" t="s">
        <v>4546</v>
      </c>
      <c r="F1401" s="8" t="s">
        <v>4547</v>
      </c>
      <c r="G1401" s="6" t="s">
        <v>4548</v>
      </c>
      <c r="H1401" s="6" t="s">
        <v>208</v>
      </c>
      <c r="I1401" s="6" t="s">
        <v>4487</v>
      </c>
      <c r="J1401" s="6" t="s">
        <v>40</v>
      </c>
      <c r="K1401" s="6"/>
      <c r="L1401" s="7" t="s">
        <v>40</v>
      </c>
      <c r="M1401" s="6" t="s">
        <v>76</v>
      </c>
      <c r="N1401" s="6"/>
      <c r="O1401" s="6">
        <f>HYPERLINK("https://docs.wto.org/imrd/directdoc.asp?DDFDocuments/t/G/TBTN23/BDI367A1.DOCX", "https://docs.wto.org/imrd/directdoc.asp?DDFDocuments/t/G/TBTN23/BDI367A1.DOCX")</f>
      </c>
      <c r="P1401" s="6">
        <f>HYPERLINK("https://docs.wto.org/imrd/directdoc.asp?DDFDocuments/u/G/TBTN23/BDI367A1.DOCX", "https://docs.wto.org/imrd/directdoc.asp?DDFDocuments/u/G/TBTN23/BDI367A1.DOCX")</f>
      </c>
      <c r="Q1401" s="6">
        <f>HYPERLINK("https://docs.wto.org/imrd/directdoc.asp?DDFDocuments/v/G/TBTN23/BDI367A1.DOCX", "https://docs.wto.org/imrd/directdoc.asp?DDFDocuments/v/G/TBTN23/BDI367A1.DOCX")</f>
      </c>
    </row>
    <row r="1402">
      <c r="A1402" s="6" t="s">
        <v>2030</v>
      </c>
      <c r="B1402" s="7">
        <v>45476</v>
      </c>
      <c r="C1402" s="6">
        <f>HYPERLINK("https://eping.wto.org/en/Search?viewData= G/TBT/N/BDI/367/Add.1, G/TBT/N/KEN/1447/Add.1, G/TBT/N/RWA/878/Add.1, G/TBT/N/TZA/981/Add.1, G/TBT/N/UGA/1784/Add.1"," G/TBT/N/BDI/367/Add.1, G/TBT/N/KEN/1447/Add.1, G/TBT/N/RWA/878/Add.1, G/TBT/N/TZA/981/Add.1, G/TBT/N/UGA/1784/Add.1")</f>
      </c>
      <c r="D1402" s="8" t="s">
        <v>4545</v>
      </c>
      <c r="E1402" s="8" t="s">
        <v>4546</v>
      </c>
      <c r="F1402" s="8" t="s">
        <v>4547</v>
      </c>
      <c r="G1402" s="6" t="s">
        <v>4548</v>
      </c>
      <c r="H1402" s="6" t="s">
        <v>208</v>
      </c>
      <c r="I1402" s="6" t="s">
        <v>4487</v>
      </c>
      <c r="J1402" s="6" t="s">
        <v>40</v>
      </c>
      <c r="K1402" s="6"/>
      <c r="L1402" s="7" t="s">
        <v>40</v>
      </c>
      <c r="M1402" s="6" t="s">
        <v>76</v>
      </c>
      <c r="N1402" s="6"/>
      <c r="O1402" s="6">
        <f>HYPERLINK("https://docs.wto.org/imrd/directdoc.asp?DDFDocuments/t/G/TBTN23/BDI367A1.DOCX", "https://docs.wto.org/imrd/directdoc.asp?DDFDocuments/t/G/TBTN23/BDI367A1.DOCX")</f>
      </c>
      <c r="P1402" s="6">
        <f>HYPERLINK("https://docs.wto.org/imrd/directdoc.asp?DDFDocuments/u/G/TBTN23/BDI367A1.DOCX", "https://docs.wto.org/imrd/directdoc.asp?DDFDocuments/u/G/TBTN23/BDI367A1.DOCX")</f>
      </c>
      <c r="Q1402" s="6">
        <f>HYPERLINK("https://docs.wto.org/imrd/directdoc.asp?DDFDocuments/v/G/TBTN23/BDI367A1.DOCX", "https://docs.wto.org/imrd/directdoc.asp?DDFDocuments/v/G/TBTN23/BDI367A1.DOCX")</f>
      </c>
    </row>
    <row r="1403">
      <c r="A1403" s="6" t="s">
        <v>17</v>
      </c>
      <c r="B1403" s="7">
        <v>45476</v>
      </c>
      <c r="C1403" s="6">
        <f>HYPERLINK("https://eping.wto.org/en/Search?viewData= G/TBT/N/BDI/363/Add.1, G/TBT/N/KEN/1443/Add.1, G/TBT/N/RWA/874/Add.1, G/TBT/N/TZA/977/Add.1, G/TBT/N/UGA/1780/Add.1"," G/TBT/N/BDI/363/Add.1, G/TBT/N/KEN/1443/Add.1, G/TBT/N/RWA/874/Add.1, G/TBT/N/TZA/977/Add.1, G/TBT/N/UGA/1780/Add.1")</f>
      </c>
      <c r="D1403" s="8" t="s">
        <v>4549</v>
      </c>
      <c r="E1403" s="8" t="s">
        <v>4550</v>
      </c>
      <c r="F1403" s="8" t="s">
        <v>4551</v>
      </c>
      <c r="G1403" s="6" t="s">
        <v>4552</v>
      </c>
      <c r="H1403" s="6" t="s">
        <v>4505</v>
      </c>
      <c r="I1403" s="6" t="s">
        <v>3280</v>
      </c>
      <c r="J1403" s="6" t="s">
        <v>40</v>
      </c>
      <c r="K1403" s="6"/>
      <c r="L1403" s="7" t="s">
        <v>40</v>
      </c>
      <c r="M1403" s="6" t="s">
        <v>76</v>
      </c>
      <c r="N1403" s="6"/>
      <c r="O1403" s="6">
        <f>HYPERLINK("https://docs.wto.org/imrd/directdoc.asp?DDFDocuments/t/G/TBTN23/BDI363A1.DOCX", "https://docs.wto.org/imrd/directdoc.asp?DDFDocuments/t/G/TBTN23/BDI363A1.DOCX")</f>
      </c>
      <c r="P1403" s="6">
        <f>HYPERLINK("https://docs.wto.org/imrd/directdoc.asp?DDFDocuments/u/G/TBTN23/BDI363A1.DOCX", "https://docs.wto.org/imrd/directdoc.asp?DDFDocuments/u/G/TBTN23/BDI363A1.DOCX")</f>
      </c>
      <c r="Q1403" s="6">
        <f>HYPERLINK("https://docs.wto.org/imrd/directdoc.asp?DDFDocuments/v/G/TBTN23/BDI363A1.DOCX", "https://docs.wto.org/imrd/directdoc.asp?DDFDocuments/v/G/TBTN23/BDI363A1.DOCX")</f>
      </c>
    </row>
    <row r="1404">
      <c r="A1404" s="6" t="s">
        <v>2024</v>
      </c>
      <c r="B1404" s="7">
        <v>45476</v>
      </c>
      <c r="C1404" s="6">
        <f>HYPERLINK("https://eping.wto.org/en/Search?viewData= G/TBT/N/BDI/274/Add.1, G/TBT/N/KEN/1302/Add.1, G/TBT/N/RWA/708/Add.1, G/TBT/N/TZA/827/Add.1, G/TBT/N/UGA/1682/Add.1"," G/TBT/N/BDI/274/Add.1, G/TBT/N/KEN/1302/Add.1, G/TBT/N/RWA/708/Add.1, G/TBT/N/TZA/827/Add.1, G/TBT/N/UGA/1682/Add.1")</f>
      </c>
      <c r="D1404" s="8" t="s">
        <v>4506</v>
      </c>
      <c r="E1404" s="8" t="s">
        <v>4507</v>
      </c>
      <c r="F1404" s="8" t="s">
        <v>4508</v>
      </c>
      <c r="G1404" s="6" t="s">
        <v>4509</v>
      </c>
      <c r="H1404" s="6" t="s">
        <v>208</v>
      </c>
      <c r="I1404" s="6" t="s">
        <v>3280</v>
      </c>
      <c r="J1404" s="6" t="s">
        <v>40</v>
      </c>
      <c r="K1404" s="6"/>
      <c r="L1404" s="7" t="s">
        <v>40</v>
      </c>
      <c r="M1404" s="6" t="s">
        <v>76</v>
      </c>
      <c r="N1404" s="6"/>
      <c r="O1404" s="6">
        <f>HYPERLINK("https://docs.wto.org/imrd/directdoc.asp?DDFDocuments/t/G/TBTN22/BDI274A1.DOCX", "https://docs.wto.org/imrd/directdoc.asp?DDFDocuments/t/G/TBTN22/BDI274A1.DOCX")</f>
      </c>
      <c r="P1404" s="6">
        <f>HYPERLINK("https://docs.wto.org/imrd/directdoc.asp?DDFDocuments/u/G/TBTN22/BDI274A1.DOCX", "https://docs.wto.org/imrd/directdoc.asp?DDFDocuments/u/G/TBTN22/BDI274A1.DOCX")</f>
      </c>
      <c r="Q1404" s="6">
        <f>HYPERLINK("https://docs.wto.org/imrd/directdoc.asp?DDFDocuments/v/G/TBTN22/BDI274A1.DOCX", "https://docs.wto.org/imrd/directdoc.asp?DDFDocuments/v/G/TBTN22/BDI274A1.DOCX")</f>
      </c>
    </row>
    <row r="1405">
      <c r="A1405" s="6" t="s">
        <v>17</v>
      </c>
      <c r="B1405" s="7">
        <v>45476</v>
      </c>
      <c r="C1405" s="6">
        <f>HYPERLINK("https://eping.wto.org/en/Search?viewData= G/TBT/N/BDI/306/Add.1, G/TBT/N/KEN/1348/Add.1, G/TBT/N/RWA/747/Add.1, G/TBT/N/TZA/870/Add.1, G/TBT/N/UGA/1715/Add.1"," G/TBT/N/BDI/306/Add.1, G/TBT/N/KEN/1348/Add.1, G/TBT/N/RWA/747/Add.1, G/TBT/N/TZA/870/Add.1, G/TBT/N/UGA/1715/Add.1")</f>
      </c>
      <c r="D1405" s="8" t="s">
        <v>4513</v>
      </c>
      <c r="E1405" s="8" t="s">
        <v>4514</v>
      </c>
      <c r="F1405" s="8" t="s">
        <v>4512</v>
      </c>
      <c r="G1405" s="6" t="s">
        <v>3363</v>
      </c>
      <c r="H1405" s="6" t="s">
        <v>3364</v>
      </c>
      <c r="I1405" s="6" t="s">
        <v>4490</v>
      </c>
      <c r="J1405" s="6" t="s">
        <v>40</v>
      </c>
      <c r="K1405" s="6"/>
      <c r="L1405" s="7" t="s">
        <v>40</v>
      </c>
      <c r="M1405" s="6" t="s">
        <v>76</v>
      </c>
      <c r="N1405" s="6"/>
      <c r="O1405" s="6">
        <f>HYPERLINK("https://docs.wto.org/imrd/directdoc.asp?DDFDocuments/t/G/TBTN22/BDI306A1.DOCX", "https://docs.wto.org/imrd/directdoc.asp?DDFDocuments/t/G/TBTN22/BDI306A1.DOCX")</f>
      </c>
      <c r="P1405" s="6">
        <f>HYPERLINK("https://docs.wto.org/imrd/directdoc.asp?DDFDocuments/u/G/TBTN22/BDI306A1.DOCX", "https://docs.wto.org/imrd/directdoc.asp?DDFDocuments/u/G/TBTN22/BDI306A1.DOCX")</f>
      </c>
      <c r="Q1405" s="6">
        <f>HYPERLINK("https://docs.wto.org/imrd/directdoc.asp?DDFDocuments/v/G/TBTN22/BDI306A1.DOCX", "https://docs.wto.org/imrd/directdoc.asp?DDFDocuments/v/G/TBTN22/BDI306A1.DOCX")</f>
      </c>
    </row>
    <row r="1406">
      <c r="A1406" s="6" t="s">
        <v>880</v>
      </c>
      <c r="B1406" s="7">
        <v>45476</v>
      </c>
      <c r="C1406" s="6">
        <f>HYPERLINK("https://eping.wto.org/en/Search?viewData= G/TBT/N/BDI/333/Add.1, G/TBT/N/KEN/1395/Add.1, G/TBT/N/RWA/840/Add.1, G/TBT/N/TZA/919/Add.1, G/TBT/N/UGA/1748/Add.1"," G/TBT/N/BDI/333/Add.1, G/TBT/N/KEN/1395/Add.1, G/TBT/N/RWA/840/Add.1, G/TBT/N/TZA/919/Add.1, G/TBT/N/UGA/1748/Add.1")</f>
      </c>
      <c r="D1406" s="8" t="s">
        <v>4488</v>
      </c>
      <c r="E1406" s="8" t="s">
        <v>4489</v>
      </c>
      <c r="F1406" s="8" t="s">
        <v>4314</v>
      </c>
      <c r="G1406" s="6" t="s">
        <v>4315</v>
      </c>
      <c r="H1406" s="6" t="s">
        <v>320</v>
      </c>
      <c r="I1406" s="6" t="s">
        <v>3280</v>
      </c>
      <c r="J1406" s="6" t="s">
        <v>122</v>
      </c>
      <c r="K1406" s="6"/>
      <c r="L1406" s="7" t="s">
        <v>40</v>
      </c>
      <c r="M1406" s="6" t="s">
        <v>76</v>
      </c>
      <c r="N1406" s="6"/>
      <c r="O1406" s="6">
        <f>HYPERLINK("https://docs.wto.org/imrd/directdoc.asp?DDFDocuments/t/G/TBTN23/BDI333A1.DOCX", "https://docs.wto.org/imrd/directdoc.asp?DDFDocuments/t/G/TBTN23/BDI333A1.DOCX")</f>
      </c>
      <c r="P1406" s="6">
        <f>HYPERLINK("https://docs.wto.org/imrd/directdoc.asp?DDFDocuments/u/G/TBTN23/BDI333A1.DOCX", "https://docs.wto.org/imrd/directdoc.asp?DDFDocuments/u/G/TBTN23/BDI333A1.DOCX")</f>
      </c>
      <c r="Q1406" s="6">
        <f>HYPERLINK("https://docs.wto.org/imrd/directdoc.asp?DDFDocuments/v/G/TBTN23/BDI333A1.DOCX", "https://docs.wto.org/imrd/directdoc.asp?DDFDocuments/v/G/TBTN23/BDI333A1.DOCX")</f>
      </c>
    </row>
    <row r="1407">
      <c r="A1407" s="6" t="s">
        <v>2024</v>
      </c>
      <c r="B1407" s="7">
        <v>45476</v>
      </c>
      <c r="C1407" s="6">
        <f>HYPERLINK("https://eping.wto.org/en/Search?viewData= G/TBT/N/BDI/332/Add.1, G/TBT/N/KEN/1394/Add.1, G/TBT/N/RWA/839/Add.1, G/TBT/N/TZA/918/Add.1, G/TBT/N/UGA/1747/Add.1"," G/TBT/N/BDI/332/Add.1, G/TBT/N/KEN/1394/Add.1, G/TBT/N/RWA/839/Add.1, G/TBT/N/TZA/918/Add.1, G/TBT/N/UGA/1747/Add.1")</f>
      </c>
      <c r="D1407" s="8" t="s">
        <v>4565</v>
      </c>
      <c r="E1407" s="8" t="s">
        <v>4566</v>
      </c>
      <c r="F1407" s="8" t="s">
        <v>4294</v>
      </c>
      <c r="G1407" s="6" t="s">
        <v>4295</v>
      </c>
      <c r="H1407" s="6" t="s">
        <v>320</v>
      </c>
      <c r="I1407" s="6" t="s">
        <v>4522</v>
      </c>
      <c r="J1407" s="6" t="s">
        <v>122</v>
      </c>
      <c r="K1407" s="6"/>
      <c r="L1407" s="7" t="s">
        <v>40</v>
      </c>
      <c r="M1407" s="6" t="s">
        <v>76</v>
      </c>
      <c r="N1407" s="6"/>
      <c r="O1407" s="6">
        <f>HYPERLINK("https://docs.wto.org/imrd/directdoc.asp?DDFDocuments/t/G/TBTN23/BDI332A1.DOCX", "https://docs.wto.org/imrd/directdoc.asp?DDFDocuments/t/G/TBTN23/BDI332A1.DOCX")</f>
      </c>
      <c r="P1407" s="6">
        <f>HYPERLINK("https://docs.wto.org/imrd/directdoc.asp?DDFDocuments/u/G/TBTN23/BDI332A1.DOCX", "https://docs.wto.org/imrd/directdoc.asp?DDFDocuments/u/G/TBTN23/BDI332A1.DOCX")</f>
      </c>
      <c r="Q1407" s="6">
        <f>HYPERLINK("https://docs.wto.org/imrd/directdoc.asp?DDFDocuments/v/G/TBTN23/BDI332A1.DOCX", "https://docs.wto.org/imrd/directdoc.asp?DDFDocuments/v/G/TBTN23/BDI332A1.DOCX")</f>
      </c>
    </row>
    <row r="1408">
      <c r="A1408" s="6" t="s">
        <v>880</v>
      </c>
      <c r="B1408" s="7">
        <v>45476</v>
      </c>
      <c r="C1408" s="6">
        <f>HYPERLINK("https://eping.wto.org/en/Search?viewData= G/TBT/N/BDI/362/Add.1, G/TBT/N/KEN/1442/Add.1, G/TBT/N/RWA/873/Add.1, G/TBT/N/TZA/976/Add.1, G/TBT/N/UGA/1778/Add.1"," G/TBT/N/BDI/362/Add.1, G/TBT/N/KEN/1442/Add.1, G/TBT/N/RWA/873/Add.1, G/TBT/N/TZA/976/Add.1, G/TBT/N/UGA/1778/Add.1")</f>
      </c>
      <c r="D1408" s="8" t="s">
        <v>4482</v>
      </c>
      <c r="E1408" s="8" t="s">
        <v>4483</v>
      </c>
      <c r="F1408" s="8" t="s">
        <v>4484</v>
      </c>
      <c r="G1408" s="6" t="s">
        <v>4485</v>
      </c>
      <c r="H1408" s="6" t="s">
        <v>4486</v>
      </c>
      <c r="I1408" s="6" t="s">
        <v>4490</v>
      </c>
      <c r="J1408" s="6" t="s">
        <v>40</v>
      </c>
      <c r="K1408" s="6"/>
      <c r="L1408" s="7" t="s">
        <v>40</v>
      </c>
      <c r="M1408" s="6" t="s">
        <v>76</v>
      </c>
      <c r="N1408" s="6"/>
      <c r="O1408" s="6">
        <f>HYPERLINK("https://docs.wto.org/imrd/directdoc.asp?DDFDocuments/t/G/TBTN23/BDI362A1.DOCX", "https://docs.wto.org/imrd/directdoc.asp?DDFDocuments/t/G/TBTN23/BDI362A1.DOCX")</f>
      </c>
      <c r="P1408" s="6">
        <f>HYPERLINK("https://docs.wto.org/imrd/directdoc.asp?DDFDocuments/u/G/TBTN23/BDI362A1.DOCX", "https://docs.wto.org/imrd/directdoc.asp?DDFDocuments/u/G/TBTN23/BDI362A1.DOCX")</f>
      </c>
      <c r="Q1408" s="6">
        <f>HYPERLINK("https://docs.wto.org/imrd/directdoc.asp?DDFDocuments/v/G/TBTN23/BDI362A1.DOCX", "https://docs.wto.org/imrd/directdoc.asp?DDFDocuments/v/G/TBTN23/BDI362A1.DOCX")</f>
      </c>
    </row>
    <row r="1409">
      <c r="A1409" s="6" t="s">
        <v>880</v>
      </c>
      <c r="B1409" s="7">
        <v>45476</v>
      </c>
      <c r="C1409" s="6">
        <f>HYPERLINK("https://eping.wto.org/en/Search?viewData= G/TBT/N/BDI/343/Add.1, G/TBT/N/KEN/1411/Add.1, G/TBT/N/RWA/850/Add.1, G/TBT/N/TZA/933/Add.1, G/TBT/N/UGA/1759/Add.1"," G/TBT/N/BDI/343/Add.1, G/TBT/N/KEN/1411/Add.1, G/TBT/N/RWA/850/Add.1, G/TBT/N/TZA/933/Add.1, G/TBT/N/UGA/1759/Add.1")</f>
      </c>
      <c r="D1409" s="8" t="s">
        <v>4539</v>
      </c>
      <c r="E1409" s="8" t="s">
        <v>4540</v>
      </c>
      <c r="F1409" s="8" t="s">
        <v>4541</v>
      </c>
      <c r="G1409" s="6" t="s">
        <v>4542</v>
      </c>
      <c r="H1409" s="6" t="s">
        <v>4543</v>
      </c>
      <c r="I1409" s="6" t="s">
        <v>4544</v>
      </c>
      <c r="J1409" s="6" t="s">
        <v>40</v>
      </c>
      <c r="K1409" s="6"/>
      <c r="L1409" s="7" t="s">
        <v>40</v>
      </c>
      <c r="M1409" s="6" t="s">
        <v>76</v>
      </c>
      <c r="N1409" s="6"/>
      <c r="O1409" s="6">
        <f>HYPERLINK("https://docs.wto.org/imrd/directdoc.asp?DDFDocuments/t/G/TBTN23/BDI343A1.DOCX", "https://docs.wto.org/imrd/directdoc.asp?DDFDocuments/t/G/TBTN23/BDI343A1.DOCX")</f>
      </c>
      <c r="P1409" s="6">
        <f>HYPERLINK("https://docs.wto.org/imrd/directdoc.asp?DDFDocuments/u/G/TBTN23/BDI343A1.DOCX", "https://docs.wto.org/imrd/directdoc.asp?DDFDocuments/u/G/TBTN23/BDI343A1.DOCX")</f>
      </c>
      <c r="Q1409" s="6">
        <f>HYPERLINK("https://docs.wto.org/imrd/directdoc.asp?DDFDocuments/v/G/TBTN23/BDI343A1.DOCX", "https://docs.wto.org/imrd/directdoc.asp?DDFDocuments/v/G/TBTN23/BDI343A1.DOCX")</f>
      </c>
    </row>
    <row r="1410">
      <c r="A1410" s="6" t="s">
        <v>584</v>
      </c>
      <c r="B1410" s="7">
        <v>45476</v>
      </c>
      <c r="C1410" s="6">
        <f>HYPERLINK("https://eping.wto.org/en/Search?viewData= G/SPS/N/GBR/65"," G/SPS/N/GBR/65")</f>
      </c>
      <c r="D1410" s="8" t="s">
        <v>4592</v>
      </c>
      <c r="E1410" s="8" t="s">
        <v>4593</v>
      </c>
      <c r="F1410" s="8" t="s">
        <v>4594</v>
      </c>
      <c r="G1410" s="6" t="s">
        <v>40</v>
      </c>
      <c r="H1410" s="6" t="s">
        <v>40</v>
      </c>
      <c r="I1410" s="6" t="s">
        <v>38</v>
      </c>
      <c r="J1410" s="6" t="s">
        <v>103</v>
      </c>
      <c r="K1410" s="6" t="s">
        <v>40</v>
      </c>
      <c r="L1410" s="7">
        <v>45536</v>
      </c>
      <c r="M1410" s="6" t="s">
        <v>25</v>
      </c>
      <c r="N1410" s="8" t="s">
        <v>4595</v>
      </c>
      <c r="O1410" s="6">
        <f>HYPERLINK("https://docs.wto.org/imrd/directdoc.asp?DDFDocuments/t/G/SPS/NGBR65.DOCX", "https://docs.wto.org/imrd/directdoc.asp?DDFDocuments/t/G/SPS/NGBR65.DOCX")</f>
      </c>
      <c r="P1410" s="6">
        <f>HYPERLINK("https://docs.wto.org/imrd/directdoc.asp?DDFDocuments/u/G/SPS/NGBR65.DOCX", "https://docs.wto.org/imrd/directdoc.asp?DDFDocuments/u/G/SPS/NGBR65.DOCX")</f>
      </c>
      <c r="Q1410" s="6">
        <f>HYPERLINK("https://docs.wto.org/imrd/directdoc.asp?DDFDocuments/v/G/SPS/NGBR65.DOCX", "https://docs.wto.org/imrd/directdoc.asp?DDFDocuments/v/G/SPS/NGBR65.DOCX")</f>
      </c>
    </row>
    <row r="1411">
      <c r="A1411" s="6" t="s">
        <v>2041</v>
      </c>
      <c r="B1411" s="7">
        <v>45476</v>
      </c>
      <c r="C1411" s="6">
        <f>HYPERLINK("https://eping.wto.org/en/Search?viewData= G/TBT/N/BDI/332/Add.1, G/TBT/N/KEN/1394/Add.1, G/TBT/N/RWA/839/Add.1, G/TBT/N/TZA/918/Add.1, G/TBT/N/UGA/1747/Add.1"," G/TBT/N/BDI/332/Add.1, G/TBT/N/KEN/1394/Add.1, G/TBT/N/RWA/839/Add.1, G/TBT/N/TZA/918/Add.1, G/TBT/N/UGA/1747/Add.1")</f>
      </c>
      <c r="D1411" s="8" t="s">
        <v>4565</v>
      </c>
      <c r="E1411" s="8" t="s">
        <v>4566</v>
      </c>
      <c r="F1411" s="8" t="s">
        <v>4294</v>
      </c>
      <c r="G1411" s="6" t="s">
        <v>4295</v>
      </c>
      <c r="H1411" s="6" t="s">
        <v>320</v>
      </c>
      <c r="I1411" s="6" t="s">
        <v>4522</v>
      </c>
      <c r="J1411" s="6" t="s">
        <v>122</v>
      </c>
      <c r="K1411" s="6"/>
      <c r="L1411" s="7" t="s">
        <v>40</v>
      </c>
      <c r="M1411" s="6" t="s">
        <v>76</v>
      </c>
      <c r="N1411" s="6"/>
      <c r="O1411" s="6">
        <f>HYPERLINK("https://docs.wto.org/imrd/directdoc.asp?DDFDocuments/t/G/TBTN23/BDI332A1.DOCX", "https://docs.wto.org/imrd/directdoc.asp?DDFDocuments/t/G/TBTN23/BDI332A1.DOCX")</f>
      </c>
      <c r="P1411" s="6">
        <f>HYPERLINK("https://docs.wto.org/imrd/directdoc.asp?DDFDocuments/u/G/TBTN23/BDI332A1.DOCX", "https://docs.wto.org/imrd/directdoc.asp?DDFDocuments/u/G/TBTN23/BDI332A1.DOCX")</f>
      </c>
      <c r="Q1411" s="6">
        <f>HYPERLINK("https://docs.wto.org/imrd/directdoc.asp?DDFDocuments/v/G/TBTN23/BDI332A1.DOCX", "https://docs.wto.org/imrd/directdoc.asp?DDFDocuments/v/G/TBTN23/BDI332A1.DOCX")</f>
      </c>
    </row>
    <row r="1412">
      <c r="A1412" s="6" t="s">
        <v>17</v>
      </c>
      <c r="B1412" s="7">
        <v>45476</v>
      </c>
      <c r="C1412" s="6">
        <f>HYPERLINK("https://eping.wto.org/en/Search?viewData= G/TBT/N/BDI/330/Add.1, G/TBT/N/KEN/1392/Add.1, G/TBT/N/RWA/837/Add.1, G/TBT/N/TZA/916/Add.1, G/TBT/N/UGA/1745/Add.1"," G/TBT/N/BDI/330/Add.1, G/TBT/N/KEN/1392/Add.1, G/TBT/N/RWA/837/Add.1, G/TBT/N/TZA/916/Add.1, G/TBT/N/UGA/1745/Add.1")</f>
      </c>
      <c r="D1412" s="8" t="s">
        <v>4477</v>
      </c>
      <c r="E1412" s="8" t="s">
        <v>4478</v>
      </c>
      <c r="F1412" s="8" t="s">
        <v>4479</v>
      </c>
      <c r="G1412" s="6" t="s">
        <v>4480</v>
      </c>
      <c r="H1412" s="6" t="s">
        <v>320</v>
      </c>
      <c r="I1412" s="6" t="s">
        <v>4522</v>
      </c>
      <c r="J1412" s="6" t="s">
        <v>122</v>
      </c>
      <c r="K1412" s="6"/>
      <c r="L1412" s="7" t="s">
        <v>40</v>
      </c>
      <c r="M1412" s="6" t="s">
        <v>76</v>
      </c>
      <c r="N1412" s="6"/>
      <c r="O1412" s="6">
        <f>HYPERLINK("https://docs.wto.org/imrd/directdoc.asp?DDFDocuments/t/G/TBTN23/BDI330A1.DOCX", "https://docs.wto.org/imrd/directdoc.asp?DDFDocuments/t/G/TBTN23/BDI330A1.DOCX")</f>
      </c>
      <c r="P1412" s="6">
        <f>HYPERLINK("https://docs.wto.org/imrd/directdoc.asp?DDFDocuments/u/G/TBTN23/BDI330A1.DOCX", "https://docs.wto.org/imrd/directdoc.asp?DDFDocuments/u/G/TBTN23/BDI330A1.DOCX")</f>
      </c>
      <c r="Q1412" s="6">
        <f>HYPERLINK("https://docs.wto.org/imrd/directdoc.asp?DDFDocuments/v/G/TBTN23/BDI330A1.DOCX", "https://docs.wto.org/imrd/directdoc.asp?DDFDocuments/v/G/TBTN23/BDI330A1.DOCX")</f>
      </c>
    </row>
    <row r="1413">
      <c r="A1413" s="6" t="s">
        <v>2041</v>
      </c>
      <c r="B1413" s="7">
        <v>45476</v>
      </c>
      <c r="C1413" s="6">
        <f>HYPERLINK("https://eping.wto.org/en/Search?viewData= G/TBT/N/BDI/346/Add.1, G/TBT/N/KEN/1414/Add.1, G/TBT/N/RWA/853/Add.1, G/TBT/N/TZA/936/Add.1, G/TBT/N/UGA/1762/Add.1"," G/TBT/N/BDI/346/Add.1, G/TBT/N/KEN/1414/Add.1, G/TBT/N/RWA/853/Add.1, G/TBT/N/TZA/936/Add.1, G/TBT/N/UGA/1762/Add.1")</f>
      </c>
      <c r="D1413" s="8" t="s">
        <v>4515</v>
      </c>
      <c r="E1413" s="8" t="s">
        <v>4516</v>
      </c>
      <c r="F1413" s="8" t="s">
        <v>4517</v>
      </c>
      <c r="G1413" s="6" t="s">
        <v>4518</v>
      </c>
      <c r="H1413" s="6" t="s">
        <v>4519</v>
      </c>
      <c r="I1413" s="6" t="s">
        <v>4544</v>
      </c>
      <c r="J1413" s="6" t="s">
        <v>40</v>
      </c>
      <c r="K1413" s="6"/>
      <c r="L1413" s="7" t="s">
        <v>40</v>
      </c>
      <c r="M1413" s="6" t="s">
        <v>76</v>
      </c>
      <c r="N1413" s="6"/>
      <c r="O1413" s="6">
        <f>HYPERLINK("https://docs.wto.org/imrd/directdoc.asp?DDFDocuments/t/G/TBTN23/BDI346A1.DOCX", "https://docs.wto.org/imrd/directdoc.asp?DDFDocuments/t/G/TBTN23/BDI346A1.DOCX")</f>
      </c>
      <c r="P1413" s="6">
        <f>HYPERLINK("https://docs.wto.org/imrd/directdoc.asp?DDFDocuments/u/G/TBTN23/BDI346A1.DOCX", "https://docs.wto.org/imrd/directdoc.asp?DDFDocuments/u/G/TBTN23/BDI346A1.DOCX")</f>
      </c>
      <c r="Q1413" s="6">
        <f>HYPERLINK("https://docs.wto.org/imrd/directdoc.asp?DDFDocuments/v/G/TBTN23/BDI346A1.DOCX", "https://docs.wto.org/imrd/directdoc.asp?DDFDocuments/v/G/TBTN23/BDI346A1.DOCX")</f>
      </c>
    </row>
    <row r="1414">
      <c r="A1414" s="6" t="s">
        <v>17</v>
      </c>
      <c r="B1414" s="7">
        <v>45476</v>
      </c>
      <c r="C1414" s="6">
        <f>HYPERLINK("https://eping.wto.org/en/Search?viewData= G/TBT/N/BDI/274/Add.1, G/TBT/N/KEN/1302/Add.1, G/TBT/N/RWA/708/Add.1, G/TBT/N/TZA/827/Add.1, G/TBT/N/UGA/1682/Add.1"," G/TBT/N/BDI/274/Add.1, G/TBT/N/KEN/1302/Add.1, G/TBT/N/RWA/708/Add.1, G/TBT/N/TZA/827/Add.1, G/TBT/N/UGA/1682/Add.1")</f>
      </c>
      <c r="D1414" s="8" t="s">
        <v>4506</v>
      </c>
      <c r="E1414" s="8" t="s">
        <v>4507</v>
      </c>
      <c r="F1414" s="8" t="s">
        <v>4508</v>
      </c>
      <c r="G1414" s="6" t="s">
        <v>4509</v>
      </c>
      <c r="H1414" s="6" t="s">
        <v>208</v>
      </c>
      <c r="I1414" s="6" t="s">
        <v>3280</v>
      </c>
      <c r="J1414" s="6" t="s">
        <v>40</v>
      </c>
      <c r="K1414" s="6"/>
      <c r="L1414" s="7" t="s">
        <v>40</v>
      </c>
      <c r="M1414" s="6" t="s">
        <v>76</v>
      </c>
      <c r="N1414" s="6"/>
      <c r="O1414" s="6">
        <f>HYPERLINK("https://docs.wto.org/imrd/directdoc.asp?DDFDocuments/t/G/TBTN22/BDI274A1.DOCX", "https://docs.wto.org/imrd/directdoc.asp?DDFDocuments/t/G/TBTN22/BDI274A1.DOCX")</f>
      </c>
      <c r="P1414" s="6">
        <f>HYPERLINK("https://docs.wto.org/imrd/directdoc.asp?DDFDocuments/u/G/TBTN22/BDI274A1.DOCX", "https://docs.wto.org/imrd/directdoc.asp?DDFDocuments/u/G/TBTN22/BDI274A1.DOCX")</f>
      </c>
      <c r="Q1414" s="6">
        <f>HYPERLINK("https://docs.wto.org/imrd/directdoc.asp?DDFDocuments/v/G/TBTN22/BDI274A1.DOCX", "https://docs.wto.org/imrd/directdoc.asp?DDFDocuments/v/G/TBTN22/BDI274A1.DOCX")</f>
      </c>
    </row>
    <row r="1415">
      <c r="A1415" s="6" t="s">
        <v>2024</v>
      </c>
      <c r="B1415" s="7">
        <v>45476</v>
      </c>
      <c r="C1415" s="6">
        <f>HYPERLINK("https://eping.wto.org/en/Search?viewData= G/TBT/N/BDI/305/Add.1, G/TBT/N/KEN/1347/Add.1, G/TBT/N/RWA/746/Add.1, G/TBT/N/TZA/869/Add.1, G/TBT/N/UGA/1714/Add.1"," G/TBT/N/BDI/305/Add.1, G/TBT/N/KEN/1347/Add.1, G/TBT/N/RWA/746/Add.1, G/TBT/N/TZA/869/Add.1, G/TBT/N/UGA/1714/Add.1")</f>
      </c>
      <c r="D1415" s="8" t="s">
        <v>4510</v>
      </c>
      <c r="E1415" s="8" t="s">
        <v>4511</v>
      </c>
      <c r="F1415" s="8" t="s">
        <v>4512</v>
      </c>
      <c r="G1415" s="6" t="s">
        <v>3363</v>
      </c>
      <c r="H1415" s="6" t="s">
        <v>3364</v>
      </c>
      <c r="I1415" s="6" t="s">
        <v>4490</v>
      </c>
      <c r="J1415" s="6" t="s">
        <v>40</v>
      </c>
      <c r="K1415" s="6"/>
      <c r="L1415" s="7" t="s">
        <v>40</v>
      </c>
      <c r="M1415" s="6" t="s">
        <v>76</v>
      </c>
      <c r="N1415" s="6"/>
      <c r="O1415" s="6">
        <f>HYPERLINK("https://docs.wto.org/imrd/directdoc.asp?DDFDocuments/t/G/TBTN22/BDI305A1.DOCX", "https://docs.wto.org/imrd/directdoc.asp?DDFDocuments/t/G/TBTN22/BDI305A1.DOCX")</f>
      </c>
      <c r="P1415" s="6">
        <f>HYPERLINK("https://docs.wto.org/imrd/directdoc.asp?DDFDocuments/u/G/TBTN22/BDI305A1.DOCX", "https://docs.wto.org/imrd/directdoc.asp?DDFDocuments/u/G/TBTN22/BDI305A1.DOCX")</f>
      </c>
      <c r="Q1415" s="6">
        <f>HYPERLINK("https://docs.wto.org/imrd/directdoc.asp?DDFDocuments/v/G/TBTN22/BDI305A1.DOCX", "https://docs.wto.org/imrd/directdoc.asp?DDFDocuments/v/G/TBTN22/BDI305A1.DOCX")</f>
      </c>
    </row>
    <row r="1416">
      <c r="A1416" s="6" t="s">
        <v>2030</v>
      </c>
      <c r="B1416" s="7">
        <v>45476</v>
      </c>
      <c r="C1416" s="6">
        <f>HYPERLINK("https://eping.wto.org/en/Search?viewData= G/TBT/N/BDI/341/Add.1, G/TBT/N/KEN/1404/Add.1, G/TBT/N/RWA/848/Add.1, G/TBT/N/TZA/927/Add.1, G/TBT/N/UGA/1756/Add.1"," G/TBT/N/BDI/341/Add.1, G/TBT/N/KEN/1404/Add.1, G/TBT/N/RWA/848/Add.1, G/TBT/N/TZA/927/Add.1, G/TBT/N/UGA/1756/Add.1")</f>
      </c>
      <c r="D1416" s="8" t="s">
        <v>4534</v>
      </c>
      <c r="E1416" s="8" t="s">
        <v>4535</v>
      </c>
      <c r="F1416" s="8" t="s">
        <v>4536</v>
      </c>
      <c r="G1416" s="6" t="s">
        <v>4537</v>
      </c>
      <c r="H1416" s="6" t="s">
        <v>4538</v>
      </c>
      <c r="I1416" s="6" t="s">
        <v>2227</v>
      </c>
      <c r="J1416" s="6" t="s">
        <v>40</v>
      </c>
      <c r="K1416" s="6"/>
      <c r="L1416" s="7" t="s">
        <v>40</v>
      </c>
      <c r="M1416" s="6" t="s">
        <v>76</v>
      </c>
      <c r="N1416" s="6"/>
      <c r="O1416" s="6">
        <f>HYPERLINK("https://docs.wto.org/imrd/directdoc.asp?DDFDocuments/t/G/TBTN23/BDI341A1.DOCX", "https://docs.wto.org/imrd/directdoc.asp?DDFDocuments/t/G/TBTN23/BDI341A1.DOCX")</f>
      </c>
      <c r="P1416" s="6">
        <f>HYPERLINK("https://docs.wto.org/imrd/directdoc.asp?DDFDocuments/u/G/TBTN23/BDI341A1.DOCX", "https://docs.wto.org/imrd/directdoc.asp?DDFDocuments/u/G/TBTN23/BDI341A1.DOCX")</f>
      </c>
      <c r="Q1416" s="6">
        <f>HYPERLINK("https://docs.wto.org/imrd/directdoc.asp?DDFDocuments/v/G/TBTN23/BDI341A1.DOCX", "https://docs.wto.org/imrd/directdoc.asp?DDFDocuments/v/G/TBTN23/BDI341A1.DOCX")</f>
      </c>
    </row>
    <row r="1417">
      <c r="A1417" s="6" t="s">
        <v>2030</v>
      </c>
      <c r="B1417" s="7">
        <v>45476</v>
      </c>
      <c r="C1417" s="6">
        <f>HYPERLINK("https://eping.wto.org/en/Search?viewData= G/TBT/N/BDI/360/Add.1, G/TBT/N/KEN/1440/Add.1, G/TBT/N/RWA/871/Add.1, G/TBT/N/TZA/974/Add.1, G/TBT/N/UGA/1776/Add.1"," G/TBT/N/BDI/360/Add.1, G/TBT/N/KEN/1440/Add.1, G/TBT/N/RWA/871/Add.1, G/TBT/N/TZA/974/Add.1, G/TBT/N/UGA/1776/Add.1")</f>
      </c>
      <c r="D1417" s="8" t="s">
        <v>4523</v>
      </c>
      <c r="E1417" s="8" t="s">
        <v>4524</v>
      </c>
      <c r="F1417" s="8" t="s">
        <v>4525</v>
      </c>
      <c r="G1417" s="6" t="s">
        <v>4526</v>
      </c>
      <c r="H1417" s="6" t="s">
        <v>4527</v>
      </c>
      <c r="I1417" s="6" t="s">
        <v>4596</v>
      </c>
      <c r="J1417" s="6" t="s">
        <v>40</v>
      </c>
      <c r="K1417" s="6"/>
      <c r="L1417" s="7" t="s">
        <v>40</v>
      </c>
      <c r="M1417" s="6" t="s">
        <v>76</v>
      </c>
      <c r="N1417" s="6"/>
      <c r="O1417" s="6">
        <f>HYPERLINK("https://docs.wto.org/imrd/directdoc.asp?DDFDocuments/t/G/TBTN23/BDI360A1.DOCX", "https://docs.wto.org/imrd/directdoc.asp?DDFDocuments/t/G/TBTN23/BDI360A1.DOCX")</f>
      </c>
      <c r="P1417" s="6">
        <f>HYPERLINK("https://docs.wto.org/imrd/directdoc.asp?DDFDocuments/u/G/TBTN23/BDI360A1.DOCX", "https://docs.wto.org/imrd/directdoc.asp?DDFDocuments/u/G/TBTN23/BDI360A1.DOCX")</f>
      </c>
      <c r="Q1417" s="6">
        <f>HYPERLINK("https://docs.wto.org/imrd/directdoc.asp?DDFDocuments/v/G/TBTN23/BDI360A1.DOCX", "https://docs.wto.org/imrd/directdoc.asp?DDFDocuments/v/G/TBTN23/BDI360A1.DOCX")</f>
      </c>
    </row>
    <row r="1418">
      <c r="A1418" s="6" t="s">
        <v>2030</v>
      </c>
      <c r="B1418" s="7">
        <v>45476</v>
      </c>
      <c r="C1418" s="6">
        <f>HYPERLINK("https://eping.wto.org/en/Search?viewData= G/TBT/N/BDI/345/Add.1, G/TBT/N/KEN/1413/Add.1, G/TBT/N/RWA/852/Add.1, G/TBT/N/TZA/935/Add.1, G/TBT/N/UGA/1761/Add.1"," G/TBT/N/BDI/345/Add.1, G/TBT/N/KEN/1413/Add.1, G/TBT/N/RWA/852/Add.1, G/TBT/N/TZA/935/Add.1, G/TBT/N/UGA/1761/Add.1")</f>
      </c>
      <c r="D1418" s="8" t="s">
        <v>4571</v>
      </c>
      <c r="E1418" s="8" t="s">
        <v>4572</v>
      </c>
      <c r="F1418" s="8" t="s">
        <v>4573</v>
      </c>
      <c r="G1418" s="6" t="s">
        <v>4574</v>
      </c>
      <c r="H1418" s="6" t="s">
        <v>4519</v>
      </c>
      <c r="I1418" s="6" t="s">
        <v>4520</v>
      </c>
      <c r="J1418" s="6" t="s">
        <v>40</v>
      </c>
      <c r="K1418" s="6"/>
      <c r="L1418" s="7" t="s">
        <v>40</v>
      </c>
      <c r="M1418" s="6" t="s">
        <v>76</v>
      </c>
      <c r="N1418" s="6"/>
      <c r="O1418" s="6">
        <f>HYPERLINK("https://docs.wto.org/imrd/directdoc.asp?DDFDocuments/t/G/TBTN23/BDI345A1.DOCX", "https://docs.wto.org/imrd/directdoc.asp?DDFDocuments/t/G/TBTN23/BDI345A1.DOCX")</f>
      </c>
      <c r="P1418" s="6">
        <f>HYPERLINK("https://docs.wto.org/imrd/directdoc.asp?DDFDocuments/u/G/TBTN23/BDI345A1.DOCX", "https://docs.wto.org/imrd/directdoc.asp?DDFDocuments/u/G/TBTN23/BDI345A1.DOCX")</f>
      </c>
      <c r="Q1418" s="6">
        <f>HYPERLINK("https://docs.wto.org/imrd/directdoc.asp?DDFDocuments/v/G/TBTN23/BDI345A1.DOCX", "https://docs.wto.org/imrd/directdoc.asp?DDFDocuments/v/G/TBTN23/BDI345A1.DOCX")</f>
      </c>
    </row>
    <row r="1419">
      <c r="A1419" s="6" t="s">
        <v>2030</v>
      </c>
      <c r="B1419" s="7">
        <v>45476</v>
      </c>
      <c r="C1419" s="6">
        <f>HYPERLINK("https://eping.wto.org/en/Search?viewData= G/TBT/N/BDI/368/Add.1, G/TBT/N/KEN/1448/Add.1, G/TBT/N/RWA/879/Add.1, G/TBT/N/TZA/982/Add.1, G/TBT/N/UGA/1785/Add.1"," G/TBT/N/BDI/368/Add.1, G/TBT/N/KEN/1448/Add.1, G/TBT/N/RWA/879/Add.1, G/TBT/N/TZA/982/Add.1, G/TBT/N/UGA/1785/Add.1")</f>
      </c>
      <c r="D1419" s="8" t="s">
        <v>4560</v>
      </c>
      <c r="E1419" s="8" t="s">
        <v>4561</v>
      </c>
      <c r="F1419" s="8" t="s">
        <v>4562</v>
      </c>
      <c r="G1419" s="6" t="s">
        <v>4563</v>
      </c>
      <c r="H1419" s="6" t="s">
        <v>208</v>
      </c>
      <c r="I1419" s="6" t="s">
        <v>81</v>
      </c>
      <c r="J1419" s="6" t="s">
        <v>40</v>
      </c>
      <c r="K1419" s="6"/>
      <c r="L1419" s="7" t="s">
        <v>40</v>
      </c>
      <c r="M1419" s="6" t="s">
        <v>76</v>
      </c>
      <c r="N1419" s="6"/>
      <c r="O1419" s="6">
        <f>HYPERLINK("https://docs.wto.org/imrd/directdoc.asp?DDFDocuments/t/G/TBTN23/BDI368A1.DOCX", "https://docs.wto.org/imrd/directdoc.asp?DDFDocuments/t/G/TBTN23/BDI368A1.DOCX")</f>
      </c>
      <c r="P1419" s="6">
        <f>HYPERLINK("https://docs.wto.org/imrd/directdoc.asp?DDFDocuments/u/G/TBTN23/BDI368A1.DOCX", "https://docs.wto.org/imrd/directdoc.asp?DDFDocuments/u/G/TBTN23/BDI368A1.DOCX")</f>
      </c>
      <c r="Q1419" s="6">
        <f>HYPERLINK("https://docs.wto.org/imrd/directdoc.asp?DDFDocuments/v/G/TBTN23/BDI368A1.DOCX", "https://docs.wto.org/imrd/directdoc.asp?DDFDocuments/v/G/TBTN23/BDI368A1.DOCX")</f>
      </c>
    </row>
    <row r="1420">
      <c r="A1420" s="6" t="s">
        <v>2030</v>
      </c>
      <c r="B1420" s="7">
        <v>45476</v>
      </c>
      <c r="C1420" s="6">
        <f>HYPERLINK("https://eping.wto.org/en/Search?viewData= G/TBT/N/BDI/363/Add.1, G/TBT/N/KEN/1443/Add.1, G/TBT/N/RWA/874/Add.1, G/TBT/N/TZA/977/Add.1, G/TBT/N/UGA/1780/Add.1"," G/TBT/N/BDI/363/Add.1, G/TBT/N/KEN/1443/Add.1, G/TBT/N/RWA/874/Add.1, G/TBT/N/TZA/977/Add.1, G/TBT/N/UGA/1780/Add.1")</f>
      </c>
      <c r="D1420" s="8" t="s">
        <v>4549</v>
      </c>
      <c r="E1420" s="8" t="s">
        <v>4550</v>
      </c>
      <c r="F1420" s="8" t="s">
        <v>4551</v>
      </c>
      <c r="G1420" s="6" t="s">
        <v>4552</v>
      </c>
      <c r="H1420" s="6" t="s">
        <v>4505</v>
      </c>
      <c r="I1420" s="6" t="s">
        <v>81</v>
      </c>
      <c r="J1420" s="6" t="s">
        <v>40</v>
      </c>
      <c r="K1420" s="6"/>
      <c r="L1420" s="7" t="s">
        <v>40</v>
      </c>
      <c r="M1420" s="6" t="s">
        <v>76</v>
      </c>
      <c r="N1420" s="6"/>
      <c r="O1420" s="6">
        <f>HYPERLINK("https://docs.wto.org/imrd/directdoc.asp?DDFDocuments/t/G/TBTN23/BDI363A1.DOCX", "https://docs.wto.org/imrd/directdoc.asp?DDFDocuments/t/G/TBTN23/BDI363A1.DOCX")</f>
      </c>
      <c r="P1420" s="6">
        <f>HYPERLINK("https://docs.wto.org/imrd/directdoc.asp?DDFDocuments/u/G/TBTN23/BDI363A1.DOCX", "https://docs.wto.org/imrd/directdoc.asp?DDFDocuments/u/G/TBTN23/BDI363A1.DOCX")</f>
      </c>
      <c r="Q1420" s="6">
        <f>HYPERLINK("https://docs.wto.org/imrd/directdoc.asp?DDFDocuments/v/G/TBTN23/BDI363A1.DOCX", "https://docs.wto.org/imrd/directdoc.asp?DDFDocuments/v/G/TBTN23/BDI363A1.DOCX")</f>
      </c>
    </row>
    <row r="1421">
      <c r="A1421" s="6" t="s">
        <v>2030</v>
      </c>
      <c r="B1421" s="7">
        <v>45476</v>
      </c>
      <c r="C1421" s="6">
        <f>HYPERLINK("https://eping.wto.org/en/Search?viewData= G/TBT/N/BDI/305/Add.1, G/TBT/N/KEN/1347/Add.1, G/TBT/N/RWA/746/Add.1, G/TBT/N/TZA/869/Add.1, G/TBT/N/UGA/1714/Add.1"," G/TBT/N/BDI/305/Add.1, G/TBT/N/KEN/1347/Add.1, G/TBT/N/RWA/746/Add.1, G/TBT/N/TZA/869/Add.1, G/TBT/N/UGA/1714/Add.1")</f>
      </c>
      <c r="D1421" s="8" t="s">
        <v>4510</v>
      </c>
      <c r="E1421" s="8" t="s">
        <v>4511</v>
      </c>
      <c r="F1421" s="8" t="s">
        <v>4512</v>
      </c>
      <c r="G1421" s="6" t="s">
        <v>3363</v>
      </c>
      <c r="H1421" s="6" t="s">
        <v>3364</v>
      </c>
      <c r="I1421" s="6" t="s">
        <v>4487</v>
      </c>
      <c r="J1421" s="6" t="s">
        <v>40</v>
      </c>
      <c r="K1421" s="6"/>
      <c r="L1421" s="7" t="s">
        <v>40</v>
      </c>
      <c r="M1421" s="6" t="s">
        <v>76</v>
      </c>
      <c r="N1421" s="6"/>
      <c r="O1421" s="6">
        <f>HYPERLINK("https://docs.wto.org/imrd/directdoc.asp?DDFDocuments/t/G/TBTN22/BDI305A1.DOCX", "https://docs.wto.org/imrd/directdoc.asp?DDFDocuments/t/G/TBTN22/BDI305A1.DOCX")</f>
      </c>
      <c r="P1421" s="6">
        <f>HYPERLINK("https://docs.wto.org/imrd/directdoc.asp?DDFDocuments/u/G/TBTN22/BDI305A1.DOCX", "https://docs.wto.org/imrd/directdoc.asp?DDFDocuments/u/G/TBTN22/BDI305A1.DOCX")</f>
      </c>
      <c r="Q1421" s="6">
        <f>HYPERLINK("https://docs.wto.org/imrd/directdoc.asp?DDFDocuments/v/G/TBTN22/BDI305A1.DOCX", "https://docs.wto.org/imrd/directdoc.asp?DDFDocuments/v/G/TBTN22/BDI305A1.DOCX")</f>
      </c>
    </row>
    <row r="1422">
      <c r="A1422" s="6" t="s">
        <v>17</v>
      </c>
      <c r="B1422" s="7">
        <v>45476</v>
      </c>
      <c r="C1422" s="6">
        <f>HYPERLINK("https://eping.wto.org/en/Search?viewData= G/TBT/N/BDI/343/Add.1, G/TBT/N/KEN/1411/Add.1, G/TBT/N/RWA/850/Add.1, G/TBT/N/TZA/933/Add.1, G/TBT/N/UGA/1759/Add.1"," G/TBT/N/BDI/343/Add.1, G/TBT/N/KEN/1411/Add.1, G/TBT/N/RWA/850/Add.1, G/TBT/N/TZA/933/Add.1, G/TBT/N/UGA/1759/Add.1")</f>
      </c>
      <c r="D1422" s="8" t="s">
        <v>4539</v>
      </c>
      <c r="E1422" s="8" t="s">
        <v>4540</v>
      </c>
      <c r="F1422" s="8" t="s">
        <v>4541</v>
      </c>
      <c r="G1422" s="6" t="s">
        <v>4542</v>
      </c>
      <c r="H1422" s="6" t="s">
        <v>4543</v>
      </c>
      <c r="I1422" s="6" t="s">
        <v>4544</v>
      </c>
      <c r="J1422" s="6" t="s">
        <v>40</v>
      </c>
      <c r="K1422" s="6"/>
      <c r="L1422" s="7" t="s">
        <v>40</v>
      </c>
      <c r="M1422" s="6" t="s">
        <v>76</v>
      </c>
      <c r="N1422" s="6"/>
      <c r="O1422" s="6">
        <f>HYPERLINK("https://docs.wto.org/imrd/directdoc.asp?DDFDocuments/t/G/TBTN23/BDI343A1.DOCX", "https://docs.wto.org/imrd/directdoc.asp?DDFDocuments/t/G/TBTN23/BDI343A1.DOCX")</f>
      </c>
      <c r="P1422" s="6">
        <f>HYPERLINK("https://docs.wto.org/imrd/directdoc.asp?DDFDocuments/u/G/TBTN23/BDI343A1.DOCX", "https://docs.wto.org/imrd/directdoc.asp?DDFDocuments/u/G/TBTN23/BDI343A1.DOCX")</f>
      </c>
      <c r="Q1422" s="6">
        <f>HYPERLINK("https://docs.wto.org/imrd/directdoc.asp?DDFDocuments/v/G/TBTN23/BDI343A1.DOCX", "https://docs.wto.org/imrd/directdoc.asp?DDFDocuments/v/G/TBTN23/BDI343A1.DOCX")</f>
      </c>
    </row>
    <row r="1423">
      <c r="A1423" s="6" t="s">
        <v>2041</v>
      </c>
      <c r="B1423" s="7">
        <v>45476</v>
      </c>
      <c r="C1423" s="6">
        <f>HYPERLINK("https://eping.wto.org/en/Search?viewData= G/TBT/N/BDI/342/Add.1, G/TBT/N/KEN/1405/Add.1, G/TBT/N/RWA/849/Add.1, G/TBT/N/TZA/928/Add.1, G/TBT/N/UGA/1757/Add.1"," G/TBT/N/BDI/342/Add.1, G/TBT/N/KEN/1405/Add.1, G/TBT/N/RWA/849/Add.1, G/TBT/N/TZA/928/Add.1, G/TBT/N/UGA/1757/Add.1")</f>
      </c>
      <c r="D1423" s="8" t="s">
        <v>4567</v>
      </c>
      <c r="E1423" s="8" t="s">
        <v>4568</v>
      </c>
      <c r="F1423" s="8" t="s">
        <v>4569</v>
      </c>
      <c r="G1423" s="6" t="s">
        <v>4570</v>
      </c>
      <c r="H1423" s="6" t="s">
        <v>4495</v>
      </c>
      <c r="I1423" s="6" t="s">
        <v>3453</v>
      </c>
      <c r="J1423" s="6" t="s">
        <v>40</v>
      </c>
      <c r="K1423" s="6"/>
      <c r="L1423" s="7" t="s">
        <v>40</v>
      </c>
      <c r="M1423" s="6" t="s">
        <v>76</v>
      </c>
      <c r="N1423" s="6"/>
      <c r="O1423" s="6">
        <f>HYPERLINK("https://docs.wto.org/imrd/directdoc.asp?DDFDocuments/t/G/TBTN23/BDI342A1.DOCX", "https://docs.wto.org/imrd/directdoc.asp?DDFDocuments/t/G/TBTN23/BDI342A1.DOCX")</f>
      </c>
      <c r="P1423" s="6">
        <f>HYPERLINK("https://docs.wto.org/imrd/directdoc.asp?DDFDocuments/u/G/TBTN23/BDI342A1.DOCX", "https://docs.wto.org/imrd/directdoc.asp?DDFDocuments/u/G/TBTN23/BDI342A1.DOCX")</f>
      </c>
      <c r="Q1423" s="6">
        <f>HYPERLINK("https://docs.wto.org/imrd/directdoc.asp?DDFDocuments/v/G/TBTN23/BDI342A1.DOCX", "https://docs.wto.org/imrd/directdoc.asp?DDFDocuments/v/G/TBTN23/BDI342A1.DOCX")</f>
      </c>
    </row>
    <row r="1424">
      <c r="A1424" s="6" t="s">
        <v>880</v>
      </c>
      <c r="B1424" s="7">
        <v>45476</v>
      </c>
      <c r="C1424" s="6">
        <f>HYPERLINK("https://eping.wto.org/en/Search?viewData= G/TBT/N/BDI/342/Add.1, G/TBT/N/KEN/1405/Add.1, G/TBT/N/RWA/849/Add.1, G/TBT/N/TZA/928/Add.1, G/TBT/N/UGA/1757/Add.1"," G/TBT/N/BDI/342/Add.1, G/TBT/N/KEN/1405/Add.1, G/TBT/N/RWA/849/Add.1, G/TBT/N/TZA/928/Add.1, G/TBT/N/UGA/1757/Add.1")</f>
      </c>
      <c r="D1424" s="8" t="s">
        <v>4567</v>
      </c>
      <c r="E1424" s="8" t="s">
        <v>4568</v>
      </c>
      <c r="F1424" s="8" t="s">
        <v>4569</v>
      </c>
      <c r="G1424" s="6" t="s">
        <v>4570</v>
      </c>
      <c r="H1424" s="6" t="s">
        <v>4495</v>
      </c>
      <c r="I1424" s="6" t="s">
        <v>3453</v>
      </c>
      <c r="J1424" s="6" t="s">
        <v>40</v>
      </c>
      <c r="K1424" s="6"/>
      <c r="L1424" s="7" t="s">
        <v>40</v>
      </c>
      <c r="M1424" s="6" t="s">
        <v>76</v>
      </c>
      <c r="N1424" s="6"/>
      <c r="O1424" s="6">
        <f>HYPERLINK("https://docs.wto.org/imrd/directdoc.asp?DDFDocuments/t/G/TBTN23/BDI342A1.DOCX", "https://docs.wto.org/imrd/directdoc.asp?DDFDocuments/t/G/TBTN23/BDI342A1.DOCX")</f>
      </c>
      <c r="P1424" s="6">
        <f>HYPERLINK("https://docs.wto.org/imrd/directdoc.asp?DDFDocuments/u/G/TBTN23/BDI342A1.DOCX", "https://docs.wto.org/imrd/directdoc.asp?DDFDocuments/u/G/TBTN23/BDI342A1.DOCX")</f>
      </c>
      <c r="Q1424" s="6">
        <f>HYPERLINK("https://docs.wto.org/imrd/directdoc.asp?DDFDocuments/v/G/TBTN23/BDI342A1.DOCX", "https://docs.wto.org/imrd/directdoc.asp?DDFDocuments/v/G/TBTN23/BDI342A1.DOCX")</f>
      </c>
    </row>
    <row r="1425">
      <c r="A1425" s="6" t="s">
        <v>880</v>
      </c>
      <c r="B1425" s="7">
        <v>45476</v>
      </c>
      <c r="C1425" s="6">
        <f>HYPERLINK("https://eping.wto.org/en/Search?viewData= G/TBT/N/BDI/346/Add.1, G/TBT/N/KEN/1414/Add.1, G/TBT/N/RWA/853/Add.1, G/TBT/N/TZA/936/Add.1, G/TBT/N/UGA/1762/Add.1"," G/TBT/N/BDI/346/Add.1, G/TBT/N/KEN/1414/Add.1, G/TBT/N/RWA/853/Add.1, G/TBT/N/TZA/936/Add.1, G/TBT/N/UGA/1762/Add.1")</f>
      </c>
      <c r="D1425" s="8" t="s">
        <v>4515</v>
      </c>
      <c r="E1425" s="8" t="s">
        <v>4516</v>
      </c>
      <c r="F1425" s="8" t="s">
        <v>4517</v>
      </c>
      <c r="G1425" s="6" t="s">
        <v>4518</v>
      </c>
      <c r="H1425" s="6" t="s">
        <v>4519</v>
      </c>
      <c r="I1425" s="6" t="s">
        <v>4544</v>
      </c>
      <c r="J1425" s="6" t="s">
        <v>40</v>
      </c>
      <c r="K1425" s="6"/>
      <c r="L1425" s="7" t="s">
        <v>40</v>
      </c>
      <c r="M1425" s="6" t="s">
        <v>76</v>
      </c>
      <c r="N1425" s="6"/>
      <c r="O1425" s="6">
        <f>HYPERLINK("https://docs.wto.org/imrd/directdoc.asp?DDFDocuments/t/G/TBTN23/BDI346A1.DOCX", "https://docs.wto.org/imrd/directdoc.asp?DDFDocuments/t/G/TBTN23/BDI346A1.DOCX")</f>
      </c>
      <c r="P1425" s="6">
        <f>HYPERLINK("https://docs.wto.org/imrd/directdoc.asp?DDFDocuments/u/G/TBTN23/BDI346A1.DOCX", "https://docs.wto.org/imrd/directdoc.asp?DDFDocuments/u/G/TBTN23/BDI346A1.DOCX")</f>
      </c>
      <c r="Q1425" s="6">
        <f>HYPERLINK("https://docs.wto.org/imrd/directdoc.asp?DDFDocuments/v/G/TBTN23/BDI346A1.DOCX", "https://docs.wto.org/imrd/directdoc.asp?DDFDocuments/v/G/TBTN23/BDI346A1.DOCX")</f>
      </c>
    </row>
    <row r="1426">
      <c r="A1426" s="6" t="s">
        <v>17</v>
      </c>
      <c r="B1426" s="7">
        <v>45476</v>
      </c>
      <c r="C1426" s="6">
        <f>HYPERLINK("https://eping.wto.org/en/Search?viewData= G/TBT/N/BDI/368/Add.1, G/TBT/N/KEN/1448/Add.1, G/TBT/N/RWA/879/Add.1, G/TBT/N/TZA/982/Add.1, G/TBT/N/UGA/1785/Add.1"," G/TBT/N/BDI/368/Add.1, G/TBT/N/KEN/1448/Add.1, G/TBT/N/RWA/879/Add.1, G/TBT/N/TZA/982/Add.1, G/TBT/N/UGA/1785/Add.1")</f>
      </c>
      <c r="D1426" s="8" t="s">
        <v>4560</v>
      </c>
      <c r="E1426" s="8" t="s">
        <v>4561</v>
      </c>
      <c r="F1426" s="8" t="s">
        <v>4562</v>
      </c>
      <c r="G1426" s="6" t="s">
        <v>4563</v>
      </c>
      <c r="H1426" s="6" t="s">
        <v>208</v>
      </c>
      <c r="I1426" s="6" t="s">
        <v>3280</v>
      </c>
      <c r="J1426" s="6" t="s">
        <v>40</v>
      </c>
      <c r="K1426" s="6"/>
      <c r="L1426" s="7" t="s">
        <v>40</v>
      </c>
      <c r="M1426" s="6" t="s">
        <v>76</v>
      </c>
      <c r="N1426" s="6"/>
      <c r="O1426" s="6">
        <f>HYPERLINK("https://docs.wto.org/imrd/directdoc.asp?DDFDocuments/t/G/TBTN23/BDI368A1.DOCX", "https://docs.wto.org/imrd/directdoc.asp?DDFDocuments/t/G/TBTN23/BDI368A1.DOCX")</f>
      </c>
      <c r="P1426" s="6">
        <f>HYPERLINK("https://docs.wto.org/imrd/directdoc.asp?DDFDocuments/u/G/TBTN23/BDI368A1.DOCX", "https://docs.wto.org/imrd/directdoc.asp?DDFDocuments/u/G/TBTN23/BDI368A1.DOCX")</f>
      </c>
      <c r="Q1426" s="6">
        <f>HYPERLINK("https://docs.wto.org/imrd/directdoc.asp?DDFDocuments/v/G/TBTN23/BDI368A1.DOCX", "https://docs.wto.org/imrd/directdoc.asp?DDFDocuments/v/G/TBTN23/BDI368A1.DOCX")</f>
      </c>
    </row>
    <row r="1427">
      <c r="A1427" s="6" t="s">
        <v>2041</v>
      </c>
      <c r="B1427" s="7">
        <v>45476</v>
      </c>
      <c r="C1427" s="6">
        <f>HYPERLINK("https://eping.wto.org/en/Search?viewData= G/TBT/N/BDI/274/Add.1, G/TBT/N/KEN/1302/Add.1, G/TBT/N/RWA/708/Add.1, G/TBT/N/TZA/827/Add.1, G/TBT/N/UGA/1682/Add.1"," G/TBT/N/BDI/274/Add.1, G/TBT/N/KEN/1302/Add.1, G/TBT/N/RWA/708/Add.1, G/TBT/N/TZA/827/Add.1, G/TBT/N/UGA/1682/Add.1")</f>
      </c>
      <c r="D1427" s="8" t="s">
        <v>4506</v>
      </c>
      <c r="E1427" s="8" t="s">
        <v>4507</v>
      </c>
      <c r="F1427" s="8" t="s">
        <v>4508</v>
      </c>
      <c r="G1427" s="6" t="s">
        <v>4509</v>
      </c>
      <c r="H1427" s="6" t="s">
        <v>208</v>
      </c>
      <c r="I1427" s="6" t="s">
        <v>3280</v>
      </c>
      <c r="J1427" s="6" t="s">
        <v>40</v>
      </c>
      <c r="K1427" s="6"/>
      <c r="L1427" s="7" t="s">
        <v>40</v>
      </c>
      <c r="M1427" s="6" t="s">
        <v>76</v>
      </c>
      <c r="N1427" s="6"/>
      <c r="O1427" s="6">
        <f>HYPERLINK("https://docs.wto.org/imrd/directdoc.asp?DDFDocuments/t/G/TBTN22/BDI274A1.DOCX", "https://docs.wto.org/imrd/directdoc.asp?DDFDocuments/t/G/TBTN22/BDI274A1.DOCX")</f>
      </c>
      <c r="P1427" s="6">
        <f>HYPERLINK("https://docs.wto.org/imrd/directdoc.asp?DDFDocuments/u/G/TBTN22/BDI274A1.DOCX", "https://docs.wto.org/imrd/directdoc.asp?DDFDocuments/u/G/TBTN22/BDI274A1.DOCX")</f>
      </c>
      <c r="Q1427" s="6">
        <f>HYPERLINK("https://docs.wto.org/imrd/directdoc.asp?DDFDocuments/v/G/TBTN22/BDI274A1.DOCX", "https://docs.wto.org/imrd/directdoc.asp?DDFDocuments/v/G/TBTN22/BDI274A1.DOCX")</f>
      </c>
    </row>
    <row r="1428">
      <c r="A1428" s="6" t="s">
        <v>2030</v>
      </c>
      <c r="B1428" s="7">
        <v>45476</v>
      </c>
      <c r="C1428" s="6">
        <f>HYPERLINK("https://eping.wto.org/en/Search?viewData= G/TBT/N/BDI/340/Add.1, G/TBT/N/KEN/1403/Add.1, G/TBT/N/RWA/847/Add.1, G/TBT/N/TZA/926/Add.1, G/TBT/N/UGA/1755/Add.1"," G/TBT/N/BDI/340/Add.1, G/TBT/N/KEN/1403/Add.1, G/TBT/N/RWA/847/Add.1, G/TBT/N/TZA/926/Add.1, G/TBT/N/UGA/1755/Add.1")</f>
      </c>
      <c r="D1428" s="8" t="s">
        <v>4491</v>
      </c>
      <c r="E1428" s="8" t="s">
        <v>4492</v>
      </c>
      <c r="F1428" s="8" t="s">
        <v>4493</v>
      </c>
      <c r="G1428" s="6" t="s">
        <v>4494</v>
      </c>
      <c r="H1428" s="6" t="s">
        <v>4495</v>
      </c>
      <c r="I1428" s="6" t="s">
        <v>2227</v>
      </c>
      <c r="J1428" s="6" t="s">
        <v>40</v>
      </c>
      <c r="K1428" s="6"/>
      <c r="L1428" s="7" t="s">
        <v>40</v>
      </c>
      <c r="M1428" s="6" t="s">
        <v>76</v>
      </c>
      <c r="N1428" s="6"/>
      <c r="O1428" s="6">
        <f>HYPERLINK("https://docs.wto.org/imrd/directdoc.asp?DDFDocuments/t/G/TBTN23/BDI340A1.DOCX", "https://docs.wto.org/imrd/directdoc.asp?DDFDocuments/t/G/TBTN23/BDI340A1.DOCX")</f>
      </c>
      <c r="P1428" s="6">
        <f>HYPERLINK("https://docs.wto.org/imrd/directdoc.asp?DDFDocuments/u/G/TBTN23/BDI340A1.DOCX", "https://docs.wto.org/imrd/directdoc.asp?DDFDocuments/u/G/TBTN23/BDI340A1.DOCX")</f>
      </c>
      <c r="Q1428" s="6">
        <f>HYPERLINK("https://docs.wto.org/imrd/directdoc.asp?DDFDocuments/v/G/TBTN23/BDI340A1.DOCX", "https://docs.wto.org/imrd/directdoc.asp?DDFDocuments/v/G/TBTN23/BDI340A1.DOCX")</f>
      </c>
    </row>
    <row r="1429">
      <c r="A1429" s="6" t="s">
        <v>2030</v>
      </c>
      <c r="B1429" s="7">
        <v>45476</v>
      </c>
      <c r="C1429" s="6">
        <f>HYPERLINK("https://eping.wto.org/en/Search?viewData= G/TBT/N/BDI/306/Add.1, G/TBT/N/KEN/1348/Add.1, G/TBT/N/RWA/747/Add.1, G/TBT/N/TZA/870/Add.1, G/TBT/N/UGA/1715/Add.1"," G/TBT/N/BDI/306/Add.1, G/TBT/N/KEN/1348/Add.1, G/TBT/N/RWA/747/Add.1, G/TBT/N/TZA/870/Add.1, G/TBT/N/UGA/1715/Add.1")</f>
      </c>
      <c r="D1429" s="8" t="s">
        <v>4513</v>
      </c>
      <c r="E1429" s="8" t="s">
        <v>4514</v>
      </c>
      <c r="F1429" s="8" t="s">
        <v>4512</v>
      </c>
      <c r="G1429" s="6" t="s">
        <v>3363</v>
      </c>
      <c r="H1429" s="6" t="s">
        <v>3364</v>
      </c>
      <c r="I1429" s="6" t="s">
        <v>4487</v>
      </c>
      <c r="J1429" s="6" t="s">
        <v>40</v>
      </c>
      <c r="K1429" s="6"/>
      <c r="L1429" s="7" t="s">
        <v>40</v>
      </c>
      <c r="M1429" s="6" t="s">
        <v>76</v>
      </c>
      <c r="N1429" s="6"/>
      <c r="O1429" s="6">
        <f>HYPERLINK("https://docs.wto.org/imrd/directdoc.asp?DDFDocuments/t/G/TBTN22/BDI306A1.DOCX", "https://docs.wto.org/imrd/directdoc.asp?DDFDocuments/t/G/TBTN22/BDI306A1.DOCX")</f>
      </c>
      <c r="P1429" s="6">
        <f>HYPERLINK("https://docs.wto.org/imrd/directdoc.asp?DDFDocuments/u/G/TBTN22/BDI306A1.DOCX", "https://docs.wto.org/imrd/directdoc.asp?DDFDocuments/u/G/TBTN22/BDI306A1.DOCX")</f>
      </c>
      <c r="Q1429" s="6">
        <f>HYPERLINK("https://docs.wto.org/imrd/directdoc.asp?DDFDocuments/v/G/TBTN22/BDI306A1.DOCX", "https://docs.wto.org/imrd/directdoc.asp?DDFDocuments/v/G/TBTN22/BDI306A1.DOCX")</f>
      </c>
    </row>
    <row r="1430">
      <c r="A1430" s="6" t="s">
        <v>880</v>
      </c>
      <c r="B1430" s="7">
        <v>45476</v>
      </c>
      <c r="C1430" s="6">
        <f>HYPERLINK("https://eping.wto.org/en/Search?viewData= G/TBT/N/BDI/332/Add.1, G/TBT/N/KEN/1394/Add.1, G/TBT/N/RWA/839/Add.1, G/TBT/N/TZA/918/Add.1, G/TBT/N/UGA/1747/Add.1"," G/TBT/N/BDI/332/Add.1, G/TBT/N/KEN/1394/Add.1, G/TBT/N/RWA/839/Add.1, G/TBT/N/TZA/918/Add.1, G/TBT/N/UGA/1747/Add.1")</f>
      </c>
      <c r="D1430" s="8" t="s">
        <v>4565</v>
      </c>
      <c r="E1430" s="8" t="s">
        <v>4566</v>
      </c>
      <c r="F1430" s="8" t="s">
        <v>4294</v>
      </c>
      <c r="G1430" s="6" t="s">
        <v>4295</v>
      </c>
      <c r="H1430" s="6" t="s">
        <v>320</v>
      </c>
      <c r="I1430" s="6" t="s">
        <v>4522</v>
      </c>
      <c r="J1430" s="6" t="s">
        <v>122</v>
      </c>
      <c r="K1430" s="6"/>
      <c r="L1430" s="7" t="s">
        <v>40</v>
      </c>
      <c r="M1430" s="6" t="s">
        <v>76</v>
      </c>
      <c r="N1430" s="6"/>
      <c r="O1430" s="6">
        <f>HYPERLINK("https://docs.wto.org/imrd/directdoc.asp?DDFDocuments/t/G/TBTN23/BDI332A1.DOCX", "https://docs.wto.org/imrd/directdoc.asp?DDFDocuments/t/G/TBTN23/BDI332A1.DOCX")</f>
      </c>
      <c r="P1430" s="6">
        <f>HYPERLINK("https://docs.wto.org/imrd/directdoc.asp?DDFDocuments/u/G/TBTN23/BDI332A1.DOCX", "https://docs.wto.org/imrd/directdoc.asp?DDFDocuments/u/G/TBTN23/BDI332A1.DOCX")</f>
      </c>
      <c r="Q1430" s="6">
        <f>HYPERLINK("https://docs.wto.org/imrd/directdoc.asp?DDFDocuments/v/G/TBTN23/BDI332A1.DOCX", "https://docs.wto.org/imrd/directdoc.asp?DDFDocuments/v/G/TBTN23/BDI332A1.DOCX")</f>
      </c>
    </row>
    <row r="1431">
      <c r="A1431" s="6" t="s">
        <v>880</v>
      </c>
      <c r="B1431" s="7">
        <v>45476</v>
      </c>
      <c r="C1431" s="6">
        <f>HYPERLINK("https://eping.wto.org/en/Search?viewData= G/TBT/N/BDI/330/Add.1, G/TBT/N/KEN/1392/Add.1, G/TBT/N/RWA/837/Add.1, G/TBT/N/TZA/916/Add.1, G/TBT/N/UGA/1745/Add.1"," G/TBT/N/BDI/330/Add.1, G/TBT/N/KEN/1392/Add.1, G/TBT/N/RWA/837/Add.1, G/TBT/N/TZA/916/Add.1, G/TBT/N/UGA/1745/Add.1")</f>
      </c>
      <c r="D1431" s="8" t="s">
        <v>4477</v>
      </c>
      <c r="E1431" s="8" t="s">
        <v>4478</v>
      </c>
      <c r="F1431" s="8" t="s">
        <v>4479</v>
      </c>
      <c r="G1431" s="6" t="s">
        <v>4480</v>
      </c>
      <c r="H1431" s="6" t="s">
        <v>320</v>
      </c>
      <c r="I1431" s="6" t="s">
        <v>4522</v>
      </c>
      <c r="J1431" s="6" t="s">
        <v>122</v>
      </c>
      <c r="K1431" s="6"/>
      <c r="L1431" s="7" t="s">
        <v>40</v>
      </c>
      <c r="M1431" s="6" t="s">
        <v>76</v>
      </c>
      <c r="N1431" s="6"/>
      <c r="O1431" s="6">
        <f>HYPERLINK("https://docs.wto.org/imrd/directdoc.asp?DDFDocuments/t/G/TBTN23/BDI330A1.DOCX", "https://docs.wto.org/imrd/directdoc.asp?DDFDocuments/t/G/TBTN23/BDI330A1.DOCX")</f>
      </c>
      <c r="P1431" s="6">
        <f>HYPERLINK("https://docs.wto.org/imrd/directdoc.asp?DDFDocuments/u/G/TBTN23/BDI330A1.DOCX", "https://docs.wto.org/imrd/directdoc.asp?DDFDocuments/u/G/TBTN23/BDI330A1.DOCX")</f>
      </c>
      <c r="Q1431" s="6">
        <f>HYPERLINK("https://docs.wto.org/imrd/directdoc.asp?DDFDocuments/v/G/TBTN23/BDI330A1.DOCX", "https://docs.wto.org/imrd/directdoc.asp?DDFDocuments/v/G/TBTN23/BDI330A1.DOCX")</f>
      </c>
    </row>
    <row r="1432">
      <c r="A1432" s="6" t="s">
        <v>17</v>
      </c>
      <c r="B1432" s="7">
        <v>45476</v>
      </c>
      <c r="C1432" s="6">
        <f>HYPERLINK("https://eping.wto.org/en/Search?viewData= G/TBT/N/BDI/338/Add.1, G/TBT/N/KEN/1400/Add.1, G/TBT/N/RWA/845/Add.1, G/TBT/N/TZA/924/Add.1, G/TBT/N/UGA/1753/Add.1"," G/TBT/N/BDI/338/Add.1, G/TBT/N/KEN/1400/Add.1, G/TBT/N/RWA/845/Add.1, G/TBT/N/TZA/924/Add.1, G/TBT/N/UGA/1753/Add.1")</f>
      </c>
      <c r="D1432" s="8" t="s">
        <v>4557</v>
      </c>
      <c r="E1432" s="8" t="s">
        <v>4558</v>
      </c>
      <c r="F1432" s="8" t="s">
        <v>4298</v>
      </c>
      <c r="G1432" s="6" t="s">
        <v>4299</v>
      </c>
      <c r="H1432" s="6" t="s">
        <v>3048</v>
      </c>
      <c r="I1432" s="6" t="s">
        <v>4522</v>
      </c>
      <c r="J1432" s="6" t="s">
        <v>4559</v>
      </c>
      <c r="K1432" s="6"/>
      <c r="L1432" s="7" t="s">
        <v>40</v>
      </c>
      <c r="M1432" s="6" t="s">
        <v>76</v>
      </c>
      <c r="N1432" s="6"/>
      <c r="O1432" s="6">
        <f>HYPERLINK("https://docs.wto.org/imrd/directdoc.asp?DDFDocuments/t/G/TBTN23/BDI338A1.DOCX", "https://docs.wto.org/imrd/directdoc.asp?DDFDocuments/t/G/TBTN23/BDI338A1.DOCX")</f>
      </c>
      <c r="P1432" s="6">
        <f>HYPERLINK("https://docs.wto.org/imrd/directdoc.asp?DDFDocuments/u/G/TBTN23/BDI338A1.DOCX", "https://docs.wto.org/imrd/directdoc.asp?DDFDocuments/u/G/TBTN23/BDI338A1.DOCX")</f>
      </c>
      <c r="Q1432" s="6">
        <f>HYPERLINK("https://docs.wto.org/imrd/directdoc.asp?DDFDocuments/v/G/TBTN23/BDI338A1.DOCX", "https://docs.wto.org/imrd/directdoc.asp?DDFDocuments/v/G/TBTN23/BDI338A1.DOCX")</f>
      </c>
    </row>
    <row r="1433">
      <c r="A1433" s="6" t="s">
        <v>17</v>
      </c>
      <c r="B1433" s="7">
        <v>45476</v>
      </c>
      <c r="C1433" s="6">
        <f>HYPERLINK("https://eping.wto.org/en/Search?viewData= G/TBT/N/BDI/329/Add.1, G/TBT/N/KEN/1391/Add.1, G/TBT/N/RWA/836/Add.1, G/TBT/N/TZA/915/Add.1, G/TBT/N/UGA/1744/Add.1"," G/TBT/N/BDI/329/Add.1, G/TBT/N/KEN/1391/Add.1, G/TBT/N/RWA/836/Add.1, G/TBT/N/TZA/915/Add.1, G/TBT/N/UGA/1744/Add.1")</f>
      </c>
      <c r="D1433" s="8" t="s">
        <v>4327</v>
      </c>
      <c r="E1433" s="8" t="s">
        <v>4521</v>
      </c>
      <c r="F1433" s="8" t="s">
        <v>4325</v>
      </c>
      <c r="G1433" s="6" t="s">
        <v>4326</v>
      </c>
      <c r="H1433" s="6" t="s">
        <v>320</v>
      </c>
      <c r="I1433" s="6" t="s">
        <v>4522</v>
      </c>
      <c r="J1433" s="6" t="s">
        <v>122</v>
      </c>
      <c r="K1433" s="6"/>
      <c r="L1433" s="7" t="s">
        <v>40</v>
      </c>
      <c r="M1433" s="6" t="s">
        <v>76</v>
      </c>
      <c r="N1433" s="6"/>
      <c r="O1433" s="6">
        <f>HYPERLINK("https://docs.wto.org/imrd/directdoc.asp?DDFDocuments/t/G/TBTN23/BDI329A1.DOCX", "https://docs.wto.org/imrd/directdoc.asp?DDFDocuments/t/G/TBTN23/BDI329A1.DOCX")</f>
      </c>
      <c r="P1433" s="6">
        <f>HYPERLINK("https://docs.wto.org/imrd/directdoc.asp?DDFDocuments/u/G/TBTN23/BDI329A1.DOCX", "https://docs.wto.org/imrd/directdoc.asp?DDFDocuments/u/G/TBTN23/BDI329A1.DOCX")</f>
      </c>
      <c r="Q1433" s="6">
        <f>HYPERLINK("https://docs.wto.org/imrd/directdoc.asp?DDFDocuments/v/G/TBTN23/BDI329A1.DOCX", "https://docs.wto.org/imrd/directdoc.asp?DDFDocuments/v/G/TBTN23/BDI329A1.DOCX")</f>
      </c>
    </row>
    <row r="1434">
      <c r="A1434" s="6" t="s">
        <v>17</v>
      </c>
      <c r="B1434" s="7">
        <v>45476</v>
      </c>
      <c r="C1434" s="6">
        <f>HYPERLINK("https://eping.wto.org/en/Search?viewData= G/TBT/N/BDI/362/Add.1, G/TBT/N/KEN/1442/Add.1, G/TBT/N/RWA/873/Add.1, G/TBT/N/TZA/976/Add.1, G/TBT/N/UGA/1778/Add.1"," G/TBT/N/BDI/362/Add.1, G/TBT/N/KEN/1442/Add.1, G/TBT/N/RWA/873/Add.1, G/TBT/N/TZA/976/Add.1, G/TBT/N/UGA/1778/Add.1")</f>
      </c>
      <c r="D1434" s="8" t="s">
        <v>4482</v>
      </c>
      <c r="E1434" s="8" t="s">
        <v>4483</v>
      </c>
      <c r="F1434" s="8" t="s">
        <v>4484</v>
      </c>
      <c r="G1434" s="6" t="s">
        <v>4485</v>
      </c>
      <c r="H1434" s="6" t="s">
        <v>4486</v>
      </c>
      <c r="I1434" s="6" t="s">
        <v>4490</v>
      </c>
      <c r="J1434" s="6" t="s">
        <v>40</v>
      </c>
      <c r="K1434" s="6"/>
      <c r="L1434" s="7" t="s">
        <v>40</v>
      </c>
      <c r="M1434" s="6" t="s">
        <v>76</v>
      </c>
      <c r="N1434" s="6"/>
      <c r="O1434" s="6">
        <f>HYPERLINK("https://docs.wto.org/imrd/directdoc.asp?DDFDocuments/t/G/TBTN23/BDI362A1.DOCX", "https://docs.wto.org/imrd/directdoc.asp?DDFDocuments/t/G/TBTN23/BDI362A1.DOCX")</f>
      </c>
      <c r="P1434" s="6">
        <f>HYPERLINK("https://docs.wto.org/imrd/directdoc.asp?DDFDocuments/u/G/TBTN23/BDI362A1.DOCX", "https://docs.wto.org/imrd/directdoc.asp?DDFDocuments/u/G/TBTN23/BDI362A1.DOCX")</f>
      </c>
      <c r="Q1434" s="6">
        <f>HYPERLINK("https://docs.wto.org/imrd/directdoc.asp?DDFDocuments/v/G/TBTN23/BDI362A1.DOCX", "https://docs.wto.org/imrd/directdoc.asp?DDFDocuments/v/G/TBTN23/BDI362A1.DOCX")</f>
      </c>
    </row>
    <row r="1435">
      <c r="A1435" s="6" t="s">
        <v>2041</v>
      </c>
      <c r="B1435" s="7">
        <v>45476</v>
      </c>
      <c r="C1435" s="6">
        <f>HYPERLINK("https://eping.wto.org/en/Search?viewData= G/TBT/N/BDI/340/Add.1, G/TBT/N/KEN/1403/Add.1, G/TBT/N/RWA/847/Add.1, G/TBT/N/TZA/926/Add.1, G/TBT/N/UGA/1755/Add.1"," G/TBT/N/BDI/340/Add.1, G/TBT/N/KEN/1403/Add.1, G/TBT/N/RWA/847/Add.1, G/TBT/N/TZA/926/Add.1, G/TBT/N/UGA/1755/Add.1")</f>
      </c>
      <c r="D1435" s="8" t="s">
        <v>4491</v>
      </c>
      <c r="E1435" s="8" t="s">
        <v>4492</v>
      </c>
      <c r="F1435" s="8" t="s">
        <v>4493</v>
      </c>
      <c r="G1435" s="6" t="s">
        <v>4494</v>
      </c>
      <c r="H1435" s="6" t="s">
        <v>4495</v>
      </c>
      <c r="I1435" s="6" t="s">
        <v>4496</v>
      </c>
      <c r="J1435" s="6" t="s">
        <v>40</v>
      </c>
      <c r="K1435" s="6"/>
      <c r="L1435" s="7" t="s">
        <v>40</v>
      </c>
      <c r="M1435" s="6" t="s">
        <v>76</v>
      </c>
      <c r="N1435" s="6"/>
      <c r="O1435" s="6">
        <f>HYPERLINK("https://docs.wto.org/imrd/directdoc.asp?DDFDocuments/t/G/TBTN23/BDI340A1.DOCX", "https://docs.wto.org/imrd/directdoc.asp?DDFDocuments/t/G/TBTN23/BDI340A1.DOCX")</f>
      </c>
      <c r="P1435" s="6">
        <f>HYPERLINK("https://docs.wto.org/imrd/directdoc.asp?DDFDocuments/u/G/TBTN23/BDI340A1.DOCX", "https://docs.wto.org/imrd/directdoc.asp?DDFDocuments/u/G/TBTN23/BDI340A1.DOCX")</f>
      </c>
      <c r="Q1435" s="6">
        <f>HYPERLINK("https://docs.wto.org/imrd/directdoc.asp?DDFDocuments/v/G/TBTN23/BDI340A1.DOCX", "https://docs.wto.org/imrd/directdoc.asp?DDFDocuments/v/G/TBTN23/BDI340A1.DOCX")</f>
      </c>
    </row>
    <row r="1436">
      <c r="A1436" s="6" t="s">
        <v>2024</v>
      </c>
      <c r="B1436" s="7">
        <v>45476</v>
      </c>
      <c r="C1436" s="6">
        <f>HYPERLINK("https://eping.wto.org/en/Search?viewData= G/TBT/N/BDI/346/Add.1, G/TBT/N/KEN/1414/Add.1, G/TBT/N/RWA/853/Add.1, G/TBT/N/TZA/936/Add.1, G/TBT/N/UGA/1762/Add.1"," G/TBT/N/BDI/346/Add.1, G/TBT/N/KEN/1414/Add.1, G/TBT/N/RWA/853/Add.1, G/TBT/N/TZA/936/Add.1, G/TBT/N/UGA/1762/Add.1")</f>
      </c>
      <c r="D1436" s="8" t="s">
        <v>4515</v>
      </c>
      <c r="E1436" s="8" t="s">
        <v>4516</v>
      </c>
      <c r="F1436" s="8" t="s">
        <v>4517</v>
      </c>
      <c r="G1436" s="6" t="s">
        <v>4518</v>
      </c>
      <c r="H1436" s="6" t="s">
        <v>4519</v>
      </c>
      <c r="I1436" s="6" t="s">
        <v>4544</v>
      </c>
      <c r="J1436" s="6" t="s">
        <v>40</v>
      </c>
      <c r="K1436" s="6"/>
      <c r="L1436" s="7" t="s">
        <v>40</v>
      </c>
      <c r="M1436" s="6" t="s">
        <v>76</v>
      </c>
      <c r="N1436" s="6"/>
      <c r="O1436" s="6">
        <f>HYPERLINK("https://docs.wto.org/imrd/directdoc.asp?DDFDocuments/t/G/TBTN23/BDI346A1.DOCX", "https://docs.wto.org/imrd/directdoc.asp?DDFDocuments/t/G/TBTN23/BDI346A1.DOCX")</f>
      </c>
      <c r="P1436" s="6">
        <f>HYPERLINK("https://docs.wto.org/imrd/directdoc.asp?DDFDocuments/u/G/TBTN23/BDI346A1.DOCX", "https://docs.wto.org/imrd/directdoc.asp?DDFDocuments/u/G/TBTN23/BDI346A1.DOCX")</f>
      </c>
      <c r="Q1436" s="6">
        <f>HYPERLINK("https://docs.wto.org/imrd/directdoc.asp?DDFDocuments/v/G/TBTN23/BDI346A1.DOCX", "https://docs.wto.org/imrd/directdoc.asp?DDFDocuments/v/G/TBTN23/BDI346A1.DOCX")</f>
      </c>
    </row>
    <row r="1437">
      <c r="A1437" s="6" t="s">
        <v>2041</v>
      </c>
      <c r="B1437" s="7">
        <v>45476</v>
      </c>
      <c r="C1437" s="6">
        <f>HYPERLINK("https://eping.wto.org/en/Search?viewData= G/TBT/N/BDI/365/Add.1, G/TBT/N/KEN/1445/Add.1, G/TBT/N/RWA/876/Add.1, G/TBT/N/TZA/979/Add.1, G/TBT/N/UGA/1782/Add.1"," G/TBT/N/BDI/365/Add.1, G/TBT/N/KEN/1445/Add.1, G/TBT/N/RWA/876/Add.1, G/TBT/N/TZA/979/Add.1, G/TBT/N/UGA/1782/Add.1")</f>
      </c>
      <c r="D1437" s="8" t="s">
        <v>4501</v>
      </c>
      <c r="E1437" s="8" t="s">
        <v>4502</v>
      </c>
      <c r="F1437" s="8" t="s">
        <v>4503</v>
      </c>
      <c r="G1437" s="6" t="s">
        <v>4504</v>
      </c>
      <c r="H1437" s="6" t="s">
        <v>4505</v>
      </c>
      <c r="I1437" s="6" t="s">
        <v>4490</v>
      </c>
      <c r="J1437" s="6" t="s">
        <v>40</v>
      </c>
      <c r="K1437" s="6"/>
      <c r="L1437" s="7" t="s">
        <v>40</v>
      </c>
      <c r="M1437" s="6" t="s">
        <v>76</v>
      </c>
      <c r="N1437" s="6"/>
      <c r="O1437" s="6">
        <f>HYPERLINK("https://docs.wto.org/imrd/directdoc.asp?DDFDocuments/t/G/TBTN23/BDI365A1.DOCX", "https://docs.wto.org/imrd/directdoc.asp?DDFDocuments/t/G/TBTN23/BDI365A1.DOCX")</f>
      </c>
      <c r="P1437" s="6">
        <f>HYPERLINK("https://docs.wto.org/imrd/directdoc.asp?DDFDocuments/u/G/TBTN23/BDI365A1.DOCX", "https://docs.wto.org/imrd/directdoc.asp?DDFDocuments/u/G/TBTN23/BDI365A1.DOCX")</f>
      </c>
      <c r="Q1437" s="6">
        <f>HYPERLINK("https://docs.wto.org/imrd/directdoc.asp?DDFDocuments/v/G/TBTN23/BDI365A1.DOCX", "https://docs.wto.org/imrd/directdoc.asp?DDFDocuments/v/G/TBTN23/BDI365A1.DOCX")</f>
      </c>
    </row>
    <row r="1438">
      <c r="A1438" s="6" t="s">
        <v>2041</v>
      </c>
      <c r="B1438" s="7">
        <v>45476</v>
      </c>
      <c r="C1438" s="6">
        <f>HYPERLINK("https://eping.wto.org/en/Search?viewData= G/TBT/N/BDI/363/Add.1, G/TBT/N/KEN/1443/Add.1, G/TBT/N/RWA/874/Add.1, G/TBT/N/TZA/977/Add.1, G/TBT/N/UGA/1780/Add.1"," G/TBT/N/BDI/363/Add.1, G/TBT/N/KEN/1443/Add.1, G/TBT/N/RWA/874/Add.1, G/TBT/N/TZA/977/Add.1, G/TBT/N/UGA/1780/Add.1")</f>
      </c>
      <c r="D1438" s="8" t="s">
        <v>4549</v>
      </c>
      <c r="E1438" s="8" t="s">
        <v>4550</v>
      </c>
      <c r="F1438" s="8" t="s">
        <v>4551</v>
      </c>
      <c r="G1438" s="6" t="s">
        <v>4552</v>
      </c>
      <c r="H1438" s="6" t="s">
        <v>4505</v>
      </c>
      <c r="I1438" s="6" t="s">
        <v>3280</v>
      </c>
      <c r="J1438" s="6" t="s">
        <v>40</v>
      </c>
      <c r="K1438" s="6"/>
      <c r="L1438" s="7" t="s">
        <v>40</v>
      </c>
      <c r="M1438" s="6" t="s">
        <v>76</v>
      </c>
      <c r="N1438" s="6"/>
      <c r="O1438" s="6">
        <f>HYPERLINK("https://docs.wto.org/imrd/directdoc.asp?DDFDocuments/t/G/TBTN23/BDI363A1.DOCX", "https://docs.wto.org/imrd/directdoc.asp?DDFDocuments/t/G/TBTN23/BDI363A1.DOCX")</f>
      </c>
      <c r="P1438" s="6">
        <f>HYPERLINK("https://docs.wto.org/imrd/directdoc.asp?DDFDocuments/u/G/TBTN23/BDI363A1.DOCX", "https://docs.wto.org/imrd/directdoc.asp?DDFDocuments/u/G/TBTN23/BDI363A1.DOCX")</f>
      </c>
      <c r="Q1438" s="6">
        <f>HYPERLINK("https://docs.wto.org/imrd/directdoc.asp?DDFDocuments/v/G/TBTN23/BDI363A1.DOCX", "https://docs.wto.org/imrd/directdoc.asp?DDFDocuments/v/G/TBTN23/BDI363A1.DOCX")</f>
      </c>
    </row>
    <row r="1439">
      <c r="A1439" s="6" t="s">
        <v>880</v>
      </c>
      <c r="B1439" s="7">
        <v>45476</v>
      </c>
      <c r="C1439" s="6">
        <f>HYPERLINK("https://eping.wto.org/en/Search?viewData= G/TBT/N/BDI/363/Add.1, G/TBT/N/KEN/1443/Add.1, G/TBT/N/RWA/874/Add.1, G/TBT/N/TZA/977/Add.1, G/TBT/N/UGA/1780/Add.1"," G/TBT/N/BDI/363/Add.1, G/TBT/N/KEN/1443/Add.1, G/TBT/N/RWA/874/Add.1, G/TBT/N/TZA/977/Add.1, G/TBT/N/UGA/1780/Add.1")</f>
      </c>
      <c r="D1439" s="8" t="s">
        <v>4549</v>
      </c>
      <c r="E1439" s="8" t="s">
        <v>4550</v>
      </c>
      <c r="F1439" s="8" t="s">
        <v>4551</v>
      </c>
      <c r="G1439" s="6" t="s">
        <v>4552</v>
      </c>
      <c r="H1439" s="6" t="s">
        <v>4505</v>
      </c>
      <c r="I1439" s="6" t="s">
        <v>3280</v>
      </c>
      <c r="J1439" s="6" t="s">
        <v>40</v>
      </c>
      <c r="K1439" s="6"/>
      <c r="L1439" s="7" t="s">
        <v>40</v>
      </c>
      <c r="M1439" s="6" t="s">
        <v>76</v>
      </c>
      <c r="N1439" s="6"/>
      <c r="O1439" s="6">
        <f>HYPERLINK("https://docs.wto.org/imrd/directdoc.asp?DDFDocuments/t/G/TBTN23/BDI363A1.DOCX", "https://docs.wto.org/imrd/directdoc.asp?DDFDocuments/t/G/TBTN23/BDI363A1.DOCX")</f>
      </c>
      <c r="P1439" s="6">
        <f>HYPERLINK("https://docs.wto.org/imrd/directdoc.asp?DDFDocuments/u/G/TBTN23/BDI363A1.DOCX", "https://docs.wto.org/imrd/directdoc.asp?DDFDocuments/u/G/TBTN23/BDI363A1.DOCX")</f>
      </c>
      <c r="Q1439" s="6">
        <f>HYPERLINK("https://docs.wto.org/imrd/directdoc.asp?DDFDocuments/v/G/TBTN23/BDI363A1.DOCX", "https://docs.wto.org/imrd/directdoc.asp?DDFDocuments/v/G/TBTN23/BDI363A1.DOCX")</f>
      </c>
    </row>
    <row r="1440">
      <c r="A1440" s="6" t="s">
        <v>2041</v>
      </c>
      <c r="B1440" s="7">
        <v>45476</v>
      </c>
      <c r="C1440" s="6">
        <f>HYPERLINK("https://eping.wto.org/en/Search?viewData= G/TBT/N/BDI/304/Add.1, G/TBT/N/KEN/1346/Add.1, G/TBT/N/RWA/745/Add.1, G/TBT/N/TZA/868/Add.1, G/TBT/N/UGA/1713/Add.1"," G/TBT/N/BDI/304/Add.1, G/TBT/N/KEN/1346/Add.1, G/TBT/N/RWA/745/Add.1, G/TBT/N/TZA/868/Add.1, G/TBT/N/UGA/1713/Add.1")</f>
      </c>
      <c r="D1440" s="8" t="s">
        <v>4553</v>
      </c>
      <c r="E1440" s="8" t="s">
        <v>4554</v>
      </c>
      <c r="F1440" s="8" t="s">
        <v>4512</v>
      </c>
      <c r="G1440" s="6" t="s">
        <v>3363</v>
      </c>
      <c r="H1440" s="6" t="s">
        <v>3364</v>
      </c>
      <c r="I1440" s="6" t="s">
        <v>4555</v>
      </c>
      <c r="J1440" s="6" t="s">
        <v>40</v>
      </c>
      <c r="K1440" s="6"/>
      <c r="L1440" s="7" t="s">
        <v>40</v>
      </c>
      <c r="M1440" s="6" t="s">
        <v>76</v>
      </c>
      <c r="N1440" s="6"/>
      <c r="O1440" s="6">
        <f>HYPERLINK("https://docs.wto.org/imrd/directdoc.asp?DDFDocuments/t/G/TBTN22/BDI304A1.DOCX", "https://docs.wto.org/imrd/directdoc.asp?DDFDocuments/t/G/TBTN22/BDI304A1.DOCX")</f>
      </c>
      <c r="P1440" s="6">
        <f>HYPERLINK("https://docs.wto.org/imrd/directdoc.asp?DDFDocuments/u/G/TBTN22/BDI304A1.DOCX", "https://docs.wto.org/imrd/directdoc.asp?DDFDocuments/u/G/TBTN22/BDI304A1.DOCX")</f>
      </c>
      <c r="Q1440" s="6">
        <f>HYPERLINK("https://docs.wto.org/imrd/directdoc.asp?DDFDocuments/v/G/TBTN22/BDI304A1.DOCX", "https://docs.wto.org/imrd/directdoc.asp?DDFDocuments/v/G/TBTN22/BDI304A1.DOCX")</f>
      </c>
    </row>
    <row r="1441">
      <c r="A1441" s="6" t="s">
        <v>17</v>
      </c>
      <c r="B1441" s="7">
        <v>45476</v>
      </c>
      <c r="C1441" s="6">
        <f>HYPERLINK("https://eping.wto.org/en/Search?viewData= G/TBT/N/BDI/305/Add.1, G/TBT/N/KEN/1347/Add.1, G/TBT/N/RWA/746/Add.1, G/TBT/N/TZA/869/Add.1, G/TBT/N/UGA/1714/Add.1"," G/TBT/N/BDI/305/Add.1, G/TBT/N/KEN/1347/Add.1, G/TBT/N/RWA/746/Add.1, G/TBT/N/TZA/869/Add.1, G/TBT/N/UGA/1714/Add.1")</f>
      </c>
      <c r="D1441" s="8" t="s">
        <v>4510</v>
      </c>
      <c r="E1441" s="8" t="s">
        <v>4511</v>
      </c>
      <c r="F1441" s="8" t="s">
        <v>4512</v>
      </c>
      <c r="G1441" s="6" t="s">
        <v>3363</v>
      </c>
      <c r="H1441" s="6" t="s">
        <v>3364</v>
      </c>
      <c r="I1441" s="6" t="s">
        <v>4490</v>
      </c>
      <c r="J1441" s="6" t="s">
        <v>40</v>
      </c>
      <c r="K1441" s="6"/>
      <c r="L1441" s="7" t="s">
        <v>40</v>
      </c>
      <c r="M1441" s="6" t="s">
        <v>76</v>
      </c>
      <c r="N1441" s="6"/>
      <c r="O1441" s="6">
        <f>HYPERLINK("https://docs.wto.org/imrd/directdoc.asp?DDFDocuments/t/G/TBTN22/BDI305A1.DOCX", "https://docs.wto.org/imrd/directdoc.asp?DDFDocuments/t/G/TBTN22/BDI305A1.DOCX")</f>
      </c>
      <c r="P1441" s="6">
        <f>HYPERLINK("https://docs.wto.org/imrd/directdoc.asp?DDFDocuments/u/G/TBTN22/BDI305A1.DOCX", "https://docs.wto.org/imrd/directdoc.asp?DDFDocuments/u/G/TBTN22/BDI305A1.DOCX")</f>
      </c>
      <c r="Q1441" s="6">
        <f>HYPERLINK("https://docs.wto.org/imrd/directdoc.asp?DDFDocuments/v/G/TBTN22/BDI305A1.DOCX", "https://docs.wto.org/imrd/directdoc.asp?DDFDocuments/v/G/TBTN22/BDI305A1.DOCX")</f>
      </c>
    </row>
    <row r="1442">
      <c r="A1442" s="6" t="s">
        <v>2041</v>
      </c>
      <c r="B1442" s="7">
        <v>45476</v>
      </c>
      <c r="C1442" s="6">
        <f>HYPERLINK("https://eping.wto.org/en/Search?viewData= G/TBT/N/BDI/360/Add.1, G/TBT/N/KEN/1440/Add.1, G/TBT/N/RWA/871/Add.1, G/TBT/N/TZA/974/Add.1, G/TBT/N/UGA/1776/Add.1"," G/TBT/N/BDI/360/Add.1, G/TBT/N/KEN/1440/Add.1, G/TBT/N/RWA/871/Add.1, G/TBT/N/TZA/974/Add.1, G/TBT/N/UGA/1776/Add.1")</f>
      </c>
      <c r="D1442" s="8" t="s">
        <v>4523</v>
      </c>
      <c r="E1442" s="8" t="s">
        <v>4524</v>
      </c>
      <c r="F1442" s="8" t="s">
        <v>4525</v>
      </c>
      <c r="G1442" s="6" t="s">
        <v>4526</v>
      </c>
      <c r="H1442" s="6" t="s">
        <v>4527</v>
      </c>
      <c r="I1442" s="6" t="s">
        <v>4528</v>
      </c>
      <c r="J1442" s="6" t="s">
        <v>40</v>
      </c>
      <c r="K1442" s="6"/>
      <c r="L1442" s="7" t="s">
        <v>40</v>
      </c>
      <c r="M1442" s="6" t="s">
        <v>76</v>
      </c>
      <c r="N1442" s="6"/>
      <c r="O1442" s="6">
        <f>HYPERLINK("https://docs.wto.org/imrd/directdoc.asp?DDFDocuments/t/G/TBTN23/BDI360A1.DOCX", "https://docs.wto.org/imrd/directdoc.asp?DDFDocuments/t/G/TBTN23/BDI360A1.DOCX")</f>
      </c>
      <c r="P1442" s="6">
        <f>HYPERLINK("https://docs.wto.org/imrd/directdoc.asp?DDFDocuments/u/G/TBTN23/BDI360A1.DOCX", "https://docs.wto.org/imrd/directdoc.asp?DDFDocuments/u/G/TBTN23/BDI360A1.DOCX")</f>
      </c>
      <c r="Q1442" s="6">
        <f>HYPERLINK("https://docs.wto.org/imrd/directdoc.asp?DDFDocuments/v/G/TBTN23/BDI360A1.DOCX", "https://docs.wto.org/imrd/directdoc.asp?DDFDocuments/v/G/TBTN23/BDI360A1.DOCX")</f>
      </c>
    </row>
    <row r="1443">
      <c r="A1443" s="6" t="s">
        <v>2041</v>
      </c>
      <c r="B1443" s="7">
        <v>45476</v>
      </c>
      <c r="C1443" s="6">
        <f>HYPERLINK("https://eping.wto.org/en/Search?viewData= G/TBT/N/BDI/345/Add.1, G/TBT/N/KEN/1413/Add.1, G/TBT/N/RWA/852/Add.1, G/TBT/N/TZA/935/Add.1, G/TBT/N/UGA/1761/Add.1"," G/TBT/N/BDI/345/Add.1, G/TBT/N/KEN/1413/Add.1, G/TBT/N/RWA/852/Add.1, G/TBT/N/TZA/935/Add.1, G/TBT/N/UGA/1761/Add.1")</f>
      </c>
      <c r="D1443" s="8" t="s">
        <v>4571</v>
      </c>
      <c r="E1443" s="8" t="s">
        <v>4572</v>
      </c>
      <c r="F1443" s="8" t="s">
        <v>4573</v>
      </c>
      <c r="G1443" s="6" t="s">
        <v>4574</v>
      </c>
      <c r="H1443" s="6" t="s">
        <v>4519</v>
      </c>
      <c r="I1443" s="6" t="s">
        <v>4544</v>
      </c>
      <c r="J1443" s="6" t="s">
        <v>40</v>
      </c>
      <c r="K1443" s="6"/>
      <c r="L1443" s="7" t="s">
        <v>40</v>
      </c>
      <c r="M1443" s="6" t="s">
        <v>76</v>
      </c>
      <c r="N1443" s="6"/>
      <c r="O1443" s="6">
        <f>HYPERLINK("https://docs.wto.org/imrd/directdoc.asp?DDFDocuments/t/G/TBTN23/BDI345A1.DOCX", "https://docs.wto.org/imrd/directdoc.asp?DDFDocuments/t/G/TBTN23/BDI345A1.DOCX")</f>
      </c>
      <c r="P1443" s="6">
        <f>HYPERLINK("https://docs.wto.org/imrd/directdoc.asp?DDFDocuments/u/G/TBTN23/BDI345A1.DOCX", "https://docs.wto.org/imrd/directdoc.asp?DDFDocuments/u/G/TBTN23/BDI345A1.DOCX")</f>
      </c>
      <c r="Q1443" s="6">
        <f>HYPERLINK("https://docs.wto.org/imrd/directdoc.asp?DDFDocuments/v/G/TBTN23/BDI345A1.DOCX", "https://docs.wto.org/imrd/directdoc.asp?DDFDocuments/v/G/TBTN23/BDI345A1.DOCX")</f>
      </c>
    </row>
    <row r="1444">
      <c r="A1444" s="6" t="s">
        <v>2030</v>
      </c>
      <c r="B1444" s="7">
        <v>45476</v>
      </c>
      <c r="C1444" s="6">
        <f>HYPERLINK("https://eping.wto.org/en/Search?viewData= G/TBT/N/BDI/342/Add.1, G/TBT/N/KEN/1405/Add.1, G/TBT/N/RWA/849/Add.1, G/TBT/N/TZA/928/Add.1, G/TBT/N/UGA/1757/Add.1"," G/TBT/N/BDI/342/Add.1, G/TBT/N/KEN/1405/Add.1, G/TBT/N/RWA/849/Add.1, G/TBT/N/TZA/928/Add.1, G/TBT/N/UGA/1757/Add.1")</f>
      </c>
      <c r="D1444" s="8" t="s">
        <v>4567</v>
      </c>
      <c r="E1444" s="8" t="s">
        <v>4568</v>
      </c>
      <c r="F1444" s="8" t="s">
        <v>4569</v>
      </c>
      <c r="G1444" s="6" t="s">
        <v>4570</v>
      </c>
      <c r="H1444" s="6" t="s">
        <v>4495</v>
      </c>
      <c r="I1444" s="6" t="s">
        <v>2168</v>
      </c>
      <c r="J1444" s="6" t="s">
        <v>40</v>
      </c>
      <c r="K1444" s="6"/>
      <c r="L1444" s="7" t="s">
        <v>40</v>
      </c>
      <c r="M1444" s="6" t="s">
        <v>76</v>
      </c>
      <c r="N1444" s="6"/>
      <c r="O1444" s="6">
        <f>HYPERLINK("https://docs.wto.org/imrd/directdoc.asp?DDFDocuments/t/G/TBTN23/BDI342A1.DOCX", "https://docs.wto.org/imrd/directdoc.asp?DDFDocuments/t/G/TBTN23/BDI342A1.DOCX")</f>
      </c>
      <c r="P1444" s="6">
        <f>HYPERLINK("https://docs.wto.org/imrd/directdoc.asp?DDFDocuments/u/G/TBTN23/BDI342A1.DOCX", "https://docs.wto.org/imrd/directdoc.asp?DDFDocuments/u/G/TBTN23/BDI342A1.DOCX")</f>
      </c>
      <c r="Q1444" s="6">
        <f>HYPERLINK("https://docs.wto.org/imrd/directdoc.asp?DDFDocuments/v/G/TBTN23/BDI342A1.DOCX", "https://docs.wto.org/imrd/directdoc.asp?DDFDocuments/v/G/TBTN23/BDI342A1.DOCX")</f>
      </c>
    </row>
    <row r="1445">
      <c r="A1445" s="6" t="s">
        <v>2030</v>
      </c>
      <c r="B1445" s="7">
        <v>45476</v>
      </c>
      <c r="C1445" s="6">
        <f>HYPERLINK("https://eping.wto.org/en/Search?viewData= G/TBT/N/BDI/365/Add.1, G/TBT/N/KEN/1445/Add.1, G/TBT/N/RWA/876/Add.1, G/TBT/N/TZA/979/Add.1, G/TBT/N/UGA/1782/Add.1"," G/TBT/N/BDI/365/Add.1, G/TBT/N/KEN/1445/Add.1, G/TBT/N/RWA/876/Add.1, G/TBT/N/TZA/979/Add.1, G/TBT/N/UGA/1782/Add.1")</f>
      </c>
      <c r="D1445" s="8" t="s">
        <v>4501</v>
      </c>
      <c r="E1445" s="8" t="s">
        <v>4502</v>
      </c>
      <c r="F1445" s="8" t="s">
        <v>4503</v>
      </c>
      <c r="G1445" s="6" t="s">
        <v>4504</v>
      </c>
      <c r="H1445" s="6" t="s">
        <v>4505</v>
      </c>
      <c r="I1445" s="6" t="s">
        <v>4487</v>
      </c>
      <c r="J1445" s="6" t="s">
        <v>40</v>
      </c>
      <c r="K1445" s="6"/>
      <c r="L1445" s="7" t="s">
        <v>40</v>
      </c>
      <c r="M1445" s="6" t="s">
        <v>76</v>
      </c>
      <c r="N1445" s="6"/>
      <c r="O1445" s="6">
        <f>HYPERLINK("https://docs.wto.org/imrd/directdoc.asp?DDFDocuments/t/G/TBTN23/BDI365A1.DOCX", "https://docs.wto.org/imrd/directdoc.asp?DDFDocuments/t/G/TBTN23/BDI365A1.DOCX")</f>
      </c>
      <c r="P1445" s="6">
        <f>HYPERLINK("https://docs.wto.org/imrd/directdoc.asp?DDFDocuments/u/G/TBTN23/BDI365A1.DOCX", "https://docs.wto.org/imrd/directdoc.asp?DDFDocuments/u/G/TBTN23/BDI365A1.DOCX")</f>
      </c>
      <c r="Q1445" s="6">
        <f>HYPERLINK("https://docs.wto.org/imrd/directdoc.asp?DDFDocuments/v/G/TBTN23/BDI365A1.DOCX", "https://docs.wto.org/imrd/directdoc.asp?DDFDocuments/v/G/TBTN23/BDI365A1.DOCX")</f>
      </c>
    </row>
    <row r="1446">
      <c r="A1446" s="6" t="s">
        <v>2024</v>
      </c>
      <c r="B1446" s="7">
        <v>45476</v>
      </c>
      <c r="C1446" s="6">
        <f>HYPERLINK("https://eping.wto.org/en/Search?viewData= G/TBT/N/BDI/330/Add.1, G/TBT/N/KEN/1392/Add.1, G/TBT/N/RWA/837/Add.1, G/TBT/N/TZA/916/Add.1, G/TBT/N/UGA/1745/Add.1"," G/TBT/N/BDI/330/Add.1, G/TBT/N/KEN/1392/Add.1, G/TBT/N/RWA/837/Add.1, G/TBT/N/TZA/916/Add.1, G/TBT/N/UGA/1745/Add.1")</f>
      </c>
      <c r="D1446" s="8" t="s">
        <v>4477</v>
      </c>
      <c r="E1446" s="8" t="s">
        <v>4478</v>
      </c>
      <c r="F1446" s="8" t="s">
        <v>4479</v>
      </c>
      <c r="G1446" s="6" t="s">
        <v>4480</v>
      </c>
      <c r="H1446" s="6" t="s">
        <v>320</v>
      </c>
      <c r="I1446" s="6" t="s">
        <v>4522</v>
      </c>
      <c r="J1446" s="6" t="s">
        <v>122</v>
      </c>
      <c r="K1446" s="6"/>
      <c r="L1446" s="7" t="s">
        <v>40</v>
      </c>
      <c r="M1446" s="6" t="s">
        <v>76</v>
      </c>
      <c r="N1446" s="6"/>
      <c r="O1446" s="6">
        <f>HYPERLINK("https://docs.wto.org/imrd/directdoc.asp?DDFDocuments/t/G/TBTN23/BDI330A1.DOCX", "https://docs.wto.org/imrd/directdoc.asp?DDFDocuments/t/G/TBTN23/BDI330A1.DOCX")</f>
      </c>
      <c r="P1446" s="6">
        <f>HYPERLINK("https://docs.wto.org/imrd/directdoc.asp?DDFDocuments/u/G/TBTN23/BDI330A1.DOCX", "https://docs.wto.org/imrd/directdoc.asp?DDFDocuments/u/G/TBTN23/BDI330A1.DOCX")</f>
      </c>
      <c r="Q1446" s="6">
        <f>HYPERLINK("https://docs.wto.org/imrd/directdoc.asp?DDFDocuments/v/G/TBTN23/BDI330A1.DOCX", "https://docs.wto.org/imrd/directdoc.asp?DDFDocuments/v/G/TBTN23/BDI330A1.DOCX")</f>
      </c>
    </row>
    <row r="1447">
      <c r="A1447" s="6" t="s">
        <v>2041</v>
      </c>
      <c r="B1447" s="7">
        <v>45476</v>
      </c>
      <c r="C1447" s="6">
        <f>HYPERLINK("https://eping.wto.org/en/Search?viewData= G/TBT/N/BDI/329/Add.1, G/TBT/N/KEN/1391/Add.1, G/TBT/N/RWA/836/Add.1, G/TBT/N/TZA/915/Add.1, G/TBT/N/UGA/1744/Add.1"," G/TBT/N/BDI/329/Add.1, G/TBT/N/KEN/1391/Add.1, G/TBT/N/RWA/836/Add.1, G/TBT/N/TZA/915/Add.1, G/TBT/N/UGA/1744/Add.1")</f>
      </c>
      <c r="D1447" s="8" t="s">
        <v>4327</v>
      </c>
      <c r="E1447" s="8" t="s">
        <v>4521</v>
      </c>
      <c r="F1447" s="8" t="s">
        <v>4325</v>
      </c>
      <c r="G1447" s="6" t="s">
        <v>4326</v>
      </c>
      <c r="H1447" s="6" t="s">
        <v>320</v>
      </c>
      <c r="I1447" s="6" t="s">
        <v>4522</v>
      </c>
      <c r="J1447" s="6" t="s">
        <v>122</v>
      </c>
      <c r="K1447" s="6"/>
      <c r="L1447" s="7" t="s">
        <v>40</v>
      </c>
      <c r="M1447" s="6" t="s">
        <v>76</v>
      </c>
      <c r="N1447" s="6"/>
      <c r="O1447" s="6">
        <f>HYPERLINK("https://docs.wto.org/imrd/directdoc.asp?DDFDocuments/t/G/TBTN23/BDI329A1.DOCX", "https://docs.wto.org/imrd/directdoc.asp?DDFDocuments/t/G/TBTN23/BDI329A1.DOCX")</f>
      </c>
      <c r="P1447" s="6">
        <f>HYPERLINK("https://docs.wto.org/imrd/directdoc.asp?DDFDocuments/u/G/TBTN23/BDI329A1.DOCX", "https://docs.wto.org/imrd/directdoc.asp?DDFDocuments/u/G/TBTN23/BDI329A1.DOCX")</f>
      </c>
      <c r="Q1447" s="6">
        <f>HYPERLINK("https://docs.wto.org/imrd/directdoc.asp?DDFDocuments/v/G/TBTN23/BDI329A1.DOCX", "https://docs.wto.org/imrd/directdoc.asp?DDFDocuments/v/G/TBTN23/BDI329A1.DOCX")</f>
      </c>
    </row>
    <row r="1448">
      <c r="A1448" s="6" t="s">
        <v>2024</v>
      </c>
      <c r="B1448" s="7">
        <v>45476</v>
      </c>
      <c r="C1448" s="6">
        <f>HYPERLINK("https://eping.wto.org/en/Search?viewData= G/TBT/N/BDI/342/Add.1, G/TBT/N/KEN/1405/Add.1, G/TBT/N/RWA/849/Add.1, G/TBT/N/TZA/928/Add.1, G/TBT/N/UGA/1757/Add.1"," G/TBT/N/BDI/342/Add.1, G/TBT/N/KEN/1405/Add.1, G/TBT/N/RWA/849/Add.1, G/TBT/N/TZA/928/Add.1, G/TBT/N/UGA/1757/Add.1")</f>
      </c>
      <c r="D1448" s="8" t="s">
        <v>4567</v>
      </c>
      <c r="E1448" s="8" t="s">
        <v>4568</v>
      </c>
      <c r="F1448" s="8" t="s">
        <v>4569</v>
      </c>
      <c r="G1448" s="6" t="s">
        <v>4570</v>
      </c>
      <c r="H1448" s="6" t="s">
        <v>4495</v>
      </c>
      <c r="I1448" s="6" t="s">
        <v>3453</v>
      </c>
      <c r="J1448" s="6" t="s">
        <v>40</v>
      </c>
      <c r="K1448" s="6"/>
      <c r="L1448" s="7" t="s">
        <v>40</v>
      </c>
      <c r="M1448" s="6" t="s">
        <v>76</v>
      </c>
      <c r="N1448" s="6"/>
      <c r="O1448" s="6">
        <f>HYPERLINK("https://docs.wto.org/imrd/directdoc.asp?DDFDocuments/t/G/TBTN23/BDI342A1.DOCX", "https://docs.wto.org/imrd/directdoc.asp?DDFDocuments/t/G/TBTN23/BDI342A1.DOCX")</f>
      </c>
      <c r="P1448" s="6">
        <f>HYPERLINK("https://docs.wto.org/imrd/directdoc.asp?DDFDocuments/u/G/TBTN23/BDI342A1.DOCX", "https://docs.wto.org/imrd/directdoc.asp?DDFDocuments/u/G/TBTN23/BDI342A1.DOCX")</f>
      </c>
      <c r="Q1448" s="6">
        <f>HYPERLINK("https://docs.wto.org/imrd/directdoc.asp?DDFDocuments/v/G/TBTN23/BDI342A1.DOCX", "https://docs.wto.org/imrd/directdoc.asp?DDFDocuments/v/G/TBTN23/BDI342A1.DOCX")</f>
      </c>
    </row>
    <row r="1449">
      <c r="A1449" s="6" t="s">
        <v>2024</v>
      </c>
      <c r="B1449" s="7">
        <v>45476</v>
      </c>
      <c r="C1449" s="6">
        <f>HYPERLINK("https://eping.wto.org/en/Search?viewData= G/TBT/N/BDI/367/Add.1, G/TBT/N/KEN/1447/Add.1, G/TBT/N/RWA/878/Add.1, G/TBT/N/TZA/981/Add.1, G/TBT/N/UGA/1784/Add.1"," G/TBT/N/BDI/367/Add.1, G/TBT/N/KEN/1447/Add.1, G/TBT/N/RWA/878/Add.1, G/TBT/N/TZA/981/Add.1, G/TBT/N/UGA/1784/Add.1")</f>
      </c>
      <c r="D1449" s="8" t="s">
        <v>4545</v>
      </c>
      <c r="E1449" s="8" t="s">
        <v>4546</v>
      </c>
      <c r="F1449" s="8" t="s">
        <v>4547</v>
      </c>
      <c r="G1449" s="6" t="s">
        <v>4548</v>
      </c>
      <c r="H1449" s="6" t="s">
        <v>208</v>
      </c>
      <c r="I1449" s="6" t="s">
        <v>4487</v>
      </c>
      <c r="J1449" s="6" t="s">
        <v>40</v>
      </c>
      <c r="K1449" s="6"/>
      <c r="L1449" s="7" t="s">
        <v>40</v>
      </c>
      <c r="M1449" s="6" t="s">
        <v>76</v>
      </c>
      <c r="N1449" s="6"/>
      <c r="O1449" s="6">
        <f>HYPERLINK("https://docs.wto.org/imrd/directdoc.asp?DDFDocuments/t/G/TBTN23/BDI367A1.DOCX", "https://docs.wto.org/imrd/directdoc.asp?DDFDocuments/t/G/TBTN23/BDI367A1.DOCX")</f>
      </c>
      <c r="P1449" s="6">
        <f>HYPERLINK("https://docs.wto.org/imrd/directdoc.asp?DDFDocuments/u/G/TBTN23/BDI367A1.DOCX", "https://docs.wto.org/imrd/directdoc.asp?DDFDocuments/u/G/TBTN23/BDI367A1.DOCX")</f>
      </c>
      <c r="Q1449" s="6">
        <f>HYPERLINK("https://docs.wto.org/imrd/directdoc.asp?DDFDocuments/v/G/TBTN23/BDI367A1.DOCX", "https://docs.wto.org/imrd/directdoc.asp?DDFDocuments/v/G/TBTN23/BDI367A1.DOCX")</f>
      </c>
    </row>
    <row r="1450">
      <c r="A1450" s="6" t="s">
        <v>391</v>
      </c>
      <c r="B1450" s="7">
        <v>45475</v>
      </c>
      <c r="C1450" s="6">
        <f>HYPERLINK("https://eping.wto.org/en/Search?viewData= G/TBT/N/ARE/614, G/TBT/N/BHR/700, G/TBT/N/KWT/680, G/TBT/N/OMN/525, G/TBT/N/QAT/676, G/TBT/N/SAU/1337, G/TBT/N/YEM/282"," G/TBT/N/ARE/614, G/TBT/N/BHR/700, G/TBT/N/KWT/680, G/TBT/N/OMN/525, G/TBT/N/QAT/676, G/TBT/N/SAU/1337, G/TBT/N/YEM/282")</f>
      </c>
      <c r="D1450" s="8" t="s">
        <v>4597</v>
      </c>
      <c r="E1450" s="8" t="s">
        <v>4598</v>
      </c>
      <c r="F1450" s="8" t="s">
        <v>35</v>
      </c>
      <c r="G1450" s="6" t="s">
        <v>44</v>
      </c>
      <c r="H1450" s="6" t="s">
        <v>37</v>
      </c>
      <c r="I1450" s="6" t="s">
        <v>259</v>
      </c>
      <c r="J1450" s="6" t="s">
        <v>24</v>
      </c>
      <c r="K1450" s="6"/>
      <c r="L1450" s="7">
        <v>45535</v>
      </c>
      <c r="M1450" s="6" t="s">
        <v>25</v>
      </c>
      <c r="N1450" s="8" t="s">
        <v>4599</v>
      </c>
      <c r="O1450" s="6">
        <f>HYPERLINK("https://docs.wto.org/imrd/directdoc.asp?DDFDocuments/t/G/TBTN24/ARE614.DOCX", "https://docs.wto.org/imrd/directdoc.asp?DDFDocuments/t/G/TBTN24/ARE614.DOCX")</f>
      </c>
      <c r="P1450" s="6">
        <f>HYPERLINK("https://docs.wto.org/imrd/directdoc.asp?DDFDocuments/u/G/TBTN24/ARE614.DOCX", "https://docs.wto.org/imrd/directdoc.asp?DDFDocuments/u/G/TBTN24/ARE614.DOCX")</f>
      </c>
      <c r="Q1450" s="6">
        <f>HYPERLINK("https://docs.wto.org/imrd/directdoc.asp?DDFDocuments/v/G/TBTN24/ARE614.DOCX", "https://docs.wto.org/imrd/directdoc.asp?DDFDocuments/v/G/TBTN24/ARE614.DOCX")</f>
      </c>
    </row>
    <row r="1451">
      <c r="A1451" s="6" t="s">
        <v>372</v>
      </c>
      <c r="B1451" s="7">
        <v>45475</v>
      </c>
      <c r="C1451" s="6">
        <f>HYPERLINK("https://eping.wto.org/en/Search?viewData= G/TBT/N/ARE/614, G/TBT/N/BHR/700, G/TBT/N/KWT/680, G/TBT/N/OMN/525, G/TBT/N/QAT/676, G/TBT/N/SAU/1337, G/TBT/N/YEM/282"," G/TBT/N/ARE/614, G/TBT/N/BHR/700, G/TBT/N/KWT/680, G/TBT/N/OMN/525, G/TBT/N/QAT/676, G/TBT/N/SAU/1337, G/TBT/N/YEM/282")</f>
      </c>
      <c r="D1451" s="8" t="s">
        <v>4597</v>
      </c>
      <c r="E1451" s="8" t="s">
        <v>4598</v>
      </c>
      <c r="F1451" s="8" t="s">
        <v>35</v>
      </c>
      <c r="G1451" s="6" t="s">
        <v>44</v>
      </c>
      <c r="H1451" s="6" t="s">
        <v>37</v>
      </c>
      <c r="I1451" s="6" t="s">
        <v>259</v>
      </c>
      <c r="J1451" s="6" t="s">
        <v>24</v>
      </c>
      <c r="K1451" s="6"/>
      <c r="L1451" s="7">
        <v>45535</v>
      </c>
      <c r="M1451" s="6" t="s">
        <v>25</v>
      </c>
      <c r="N1451" s="8" t="s">
        <v>4599</v>
      </c>
      <c r="O1451" s="6">
        <f>HYPERLINK("https://docs.wto.org/imrd/directdoc.asp?DDFDocuments/t/G/TBTN24/ARE614.DOCX", "https://docs.wto.org/imrd/directdoc.asp?DDFDocuments/t/G/TBTN24/ARE614.DOCX")</f>
      </c>
      <c r="P1451" s="6">
        <f>HYPERLINK("https://docs.wto.org/imrd/directdoc.asp?DDFDocuments/u/G/TBTN24/ARE614.DOCX", "https://docs.wto.org/imrd/directdoc.asp?DDFDocuments/u/G/TBTN24/ARE614.DOCX")</f>
      </c>
      <c r="Q1451" s="6">
        <f>HYPERLINK("https://docs.wto.org/imrd/directdoc.asp?DDFDocuments/v/G/TBTN24/ARE614.DOCX", "https://docs.wto.org/imrd/directdoc.asp?DDFDocuments/v/G/TBTN24/ARE614.DOCX")</f>
      </c>
    </row>
    <row r="1452">
      <c r="A1452" s="6" t="s">
        <v>2030</v>
      </c>
      <c r="B1452" s="7">
        <v>45475</v>
      </c>
      <c r="C1452" s="6">
        <f>HYPERLINK("https://eping.wto.org/en/Search?viewData= G/TBT/N/BDI/336/Add.1, G/TBT/N/KEN/1398/Add.1, G/TBT/N/RWA/843/Add.1, G/TBT/N/TZA/922/Add.1, G/TBT/N/UGA/1751/Add.1"," G/TBT/N/BDI/336/Add.1, G/TBT/N/KEN/1398/Add.1, G/TBT/N/RWA/843/Add.1, G/TBT/N/TZA/922/Add.1, G/TBT/N/UGA/1751/Add.1")</f>
      </c>
      <c r="D1452" s="8" t="s">
        <v>4301</v>
      </c>
      <c r="E1452" s="8" t="s">
        <v>4600</v>
      </c>
      <c r="F1452" s="8" t="s">
        <v>4298</v>
      </c>
      <c r="G1452" s="6" t="s">
        <v>4299</v>
      </c>
      <c r="H1452" s="6" t="s">
        <v>3048</v>
      </c>
      <c r="I1452" s="6" t="s">
        <v>2747</v>
      </c>
      <c r="J1452" s="6" t="s">
        <v>3826</v>
      </c>
      <c r="K1452" s="6"/>
      <c r="L1452" s="7" t="s">
        <v>40</v>
      </c>
      <c r="M1452" s="6" t="s">
        <v>76</v>
      </c>
      <c r="N1452" s="6"/>
      <c r="O1452" s="6">
        <f>HYPERLINK("https://docs.wto.org/imrd/directdoc.asp?DDFDocuments/t/G/TBTN23/BDI336A1.DOCX", "https://docs.wto.org/imrd/directdoc.asp?DDFDocuments/t/G/TBTN23/BDI336A1.DOCX")</f>
      </c>
      <c r="P1452" s="6">
        <f>HYPERLINK("https://docs.wto.org/imrd/directdoc.asp?DDFDocuments/u/G/TBTN23/BDI336A1.DOCX", "https://docs.wto.org/imrd/directdoc.asp?DDFDocuments/u/G/TBTN23/BDI336A1.DOCX")</f>
      </c>
      <c r="Q1452" s="6">
        <f>HYPERLINK("https://docs.wto.org/imrd/directdoc.asp?DDFDocuments/v/G/TBTN23/BDI336A1.DOCX", "https://docs.wto.org/imrd/directdoc.asp?DDFDocuments/v/G/TBTN23/BDI336A1.DOCX")</f>
      </c>
    </row>
    <row r="1453">
      <c r="A1453" s="6" t="s">
        <v>974</v>
      </c>
      <c r="B1453" s="7">
        <v>45475</v>
      </c>
      <c r="C1453" s="6">
        <f>HYPERLINK("https://eping.wto.org/en/Search?viewData= G/SPS/N/KHM/2"," G/SPS/N/KHM/2")</f>
      </c>
      <c r="D1453" s="8" t="s">
        <v>4601</v>
      </c>
      <c r="E1453" s="8" t="s">
        <v>4602</v>
      </c>
      <c r="F1453" s="8" t="s">
        <v>4603</v>
      </c>
      <c r="G1453" s="6" t="s">
        <v>40</v>
      </c>
      <c r="H1453" s="6" t="s">
        <v>40</v>
      </c>
      <c r="I1453" s="6" t="s">
        <v>38</v>
      </c>
      <c r="J1453" s="6" t="s">
        <v>60</v>
      </c>
      <c r="K1453" s="6" t="s">
        <v>40</v>
      </c>
      <c r="L1453" s="7" t="s">
        <v>40</v>
      </c>
      <c r="M1453" s="6" t="s">
        <v>25</v>
      </c>
      <c r="N1453" s="8" t="s">
        <v>4604</v>
      </c>
      <c r="O1453" s="6">
        <f>HYPERLINK("https://docs.wto.org/imrd/directdoc.asp?DDFDocuments/t/G/SPS/NKHM2.DOCX", "https://docs.wto.org/imrd/directdoc.asp?DDFDocuments/t/G/SPS/NKHM2.DOCX")</f>
      </c>
      <c r="P1453" s="6">
        <f>HYPERLINK("https://docs.wto.org/imrd/directdoc.asp?DDFDocuments/u/G/SPS/NKHM2.DOCX", "https://docs.wto.org/imrd/directdoc.asp?DDFDocuments/u/G/SPS/NKHM2.DOCX")</f>
      </c>
      <c r="Q1453" s="6">
        <f>HYPERLINK("https://docs.wto.org/imrd/directdoc.asp?DDFDocuments/v/G/SPS/NKHM2.DOCX", "https://docs.wto.org/imrd/directdoc.asp?DDFDocuments/v/G/SPS/NKHM2.DOCX")</f>
      </c>
    </row>
    <row r="1454">
      <c r="A1454" s="6" t="s">
        <v>160</v>
      </c>
      <c r="B1454" s="7">
        <v>45475</v>
      </c>
      <c r="C1454" s="6">
        <f>HYPERLINK("https://eping.wto.org/en/Search?viewData= G/TBT/N/USA/2128"," G/TBT/N/USA/2128")</f>
      </c>
      <c r="D1454" s="8" t="s">
        <v>4605</v>
      </c>
      <c r="E1454" s="8" t="s">
        <v>4606</v>
      </c>
      <c r="F1454" s="8" t="s">
        <v>4607</v>
      </c>
      <c r="G1454" s="6" t="s">
        <v>40</v>
      </c>
      <c r="H1454" s="6" t="s">
        <v>4608</v>
      </c>
      <c r="I1454" s="6" t="s">
        <v>1113</v>
      </c>
      <c r="J1454" s="6" t="s">
        <v>40</v>
      </c>
      <c r="K1454" s="6"/>
      <c r="L1454" s="7">
        <v>45534</v>
      </c>
      <c r="M1454" s="6" t="s">
        <v>25</v>
      </c>
      <c r="N1454" s="8" t="s">
        <v>4609</v>
      </c>
      <c r="O1454" s="6">
        <f>HYPERLINK("https://docs.wto.org/imrd/directdoc.asp?DDFDocuments/t/G/TBTN24/USA2128.DOCX", "https://docs.wto.org/imrd/directdoc.asp?DDFDocuments/t/G/TBTN24/USA2128.DOCX")</f>
      </c>
      <c r="P1454" s="6">
        <f>HYPERLINK("https://docs.wto.org/imrd/directdoc.asp?DDFDocuments/u/G/TBTN24/USA2128.DOCX", "https://docs.wto.org/imrd/directdoc.asp?DDFDocuments/u/G/TBTN24/USA2128.DOCX")</f>
      </c>
      <c r="Q1454" s="6">
        <f>HYPERLINK("https://docs.wto.org/imrd/directdoc.asp?DDFDocuments/v/G/TBTN24/USA2128.DOCX", "https://docs.wto.org/imrd/directdoc.asp?DDFDocuments/v/G/TBTN24/USA2128.DOCX")</f>
      </c>
    </row>
    <row r="1455">
      <c r="A1455" s="6" t="s">
        <v>17</v>
      </c>
      <c r="B1455" s="7">
        <v>45475</v>
      </c>
      <c r="C1455" s="6">
        <f>HYPERLINK("https://eping.wto.org/en/Search?viewData= G/TBT/N/BDI/336/Add.1, G/TBT/N/KEN/1398/Add.1, G/TBT/N/RWA/843/Add.1, G/TBT/N/TZA/922/Add.1, G/TBT/N/UGA/1751/Add.1"," G/TBT/N/BDI/336/Add.1, G/TBT/N/KEN/1398/Add.1, G/TBT/N/RWA/843/Add.1, G/TBT/N/TZA/922/Add.1, G/TBT/N/UGA/1751/Add.1")</f>
      </c>
      <c r="D1455" s="8" t="s">
        <v>4301</v>
      </c>
      <c r="E1455" s="8" t="s">
        <v>4600</v>
      </c>
      <c r="F1455" s="8" t="s">
        <v>4298</v>
      </c>
      <c r="G1455" s="6" t="s">
        <v>4299</v>
      </c>
      <c r="H1455" s="6" t="s">
        <v>3048</v>
      </c>
      <c r="I1455" s="6" t="s">
        <v>4610</v>
      </c>
      <c r="J1455" s="6" t="s">
        <v>3826</v>
      </c>
      <c r="K1455" s="6"/>
      <c r="L1455" s="7" t="s">
        <v>40</v>
      </c>
      <c r="M1455" s="6" t="s">
        <v>76</v>
      </c>
      <c r="N1455" s="6"/>
      <c r="O1455" s="6">
        <f>HYPERLINK("https://docs.wto.org/imrd/directdoc.asp?DDFDocuments/t/G/TBTN23/BDI336A1.DOCX", "https://docs.wto.org/imrd/directdoc.asp?DDFDocuments/t/G/TBTN23/BDI336A1.DOCX")</f>
      </c>
      <c r="P1455" s="6">
        <f>HYPERLINK("https://docs.wto.org/imrd/directdoc.asp?DDFDocuments/u/G/TBTN23/BDI336A1.DOCX", "https://docs.wto.org/imrd/directdoc.asp?DDFDocuments/u/G/TBTN23/BDI336A1.DOCX")</f>
      </c>
      <c r="Q1455" s="6">
        <f>HYPERLINK("https://docs.wto.org/imrd/directdoc.asp?DDFDocuments/v/G/TBTN23/BDI336A1.DOCX", "https://docs.wto.org/imrd/directdoc.asp?DDFDocuments/v/G/TBTN23/BDI336A1.DOCX")</f>
      </c>
    </row>
    <row r="1456">
      <c r="A1456" s="6" t="s">
        <v>115</v>
      </c>
      <c r="B1456" s="7">
        <v>45475</v>
      </c>
      <c r="C1456" s="6">
        <f>HYPERLINK("https://eping.wto.org/en/Search?viewData= G/TBT/N/BRA/1297/Add.2"," G/TBT/N/BRA/1297/Add.2")</f>
      </c>
      <c r="D1456" s="8" t="s">
        <v>4433</v>
      </c>
      <c r="E1456" s="8" t="s">
        <v>4611</v>
      </c>
      <c r="F1456" s="8" t="s">
        <v>4435</v>
      </c>
      <c r="G1456" s="6" t="s">
        <v>4612</v>
      </c>
      <c r="H1456" s="6" t="s">
        <v>3010</v>
      </c>
      <c r="I1456" s="6" t="s">
        <v>147</v>
      </c>
      <c r="J1456" s="6" t="s">
        <v>154</v>
      </c>
      <c r="K1456" s="6"/>
      <c r="L1456" s="7" t="s">
        <v>40</v>
      </c>
      <c r="M1456" s="6" t="s">
        <v>76</v>
      </c>
      <c r="N1456" s="8" t="s">
        <v>4613</v>
      </c>
      <c r="O1456" s="6">
        <f>HYPERLINK("https://docs.wto.org/imrd/directdoc.asp?DDFDocuments/t/G/TBTN22/BRA1297A2.DOCX", "https://docs.wto.org/imrd/directdoc.asp?DDFDocuments/t/G/TBTN22/BRA1297A2.DOCX")</f>
      </c>
      <c r="P1456" s="6">
        <f>HYPERLINK("https://docs.wto.org/imrd/directdoc.asp?DDFDocuments/u/G/TBTN22/BRA1297A2.DOCX", "https://docs.wto.org/imrd/directdoc.asp?DDFDocuments/u/G/TBTN22/BRA1297A2.DOCX")</f>
      </c>
      <c r="Q1456" s="6">
        <f>HYPERLINK("https://docs.wto.org/imrd/directdoc.asp?DDFDocuments/v/G/TBTN22/BRA1297A2.DOCX", "https://docs.wto.org/imrd/directdoc.asp?DDFDocuments/v/G/TBTN22/BRA1297A2.DOCX")</f>
      </c>
    </row>
    <row r="1457">
      <c r="A1457" s="6" t="s">
        <v>115</v>
      </c>
      <c r="B1457" s="7">
        <v>45475</v>
      </c>
      <c r="C1457" s="6">
        <f>HYPERLINK("https://eping.wto.org/en/Search?viewData= G/TBT/N/BRA/781/Add.7"," G/TBT/N/BRA/781/Add.7")</f>
      </c>
      <c r="D1457" s="8" t="s">
        <v>4614</v>
      </c>
      <c r="E1457" s="8" t="s">
        <v>4615</v>
      </c>
      <c r="F1457" s="8" t="s">
        <v>4616</v>
      </c>
      <c r="G1457" s="6" t="s">
        <v>40</v>
      </c>
      <c r="H1457" s="6" t="s">
        <v>250</v>
      </c>
      <c r="I1457" s="6" t="s">
        <v>147</v>
      </c>
      <c r="J1457" s="6" t="s">
        <v>4617</v>
      </c>
      <c r="K1457" s="6"/>
      <c r="L1457" s="7" t="s">
        <v>40</v>
      </c>
      <c r="M1457" s="6" t="s">
        <v>76</v>
      </c>
      <c r="N1457" s="8" t="s">
        <v>4618</v>
      </c>
      <c r="O1457" s="6">
        <f>HYPERLINK("https://docs.wto.org/imrd/directdoc.asp?DDFDocuments/t/G/TBTN18/BRA781A7.DOCX", "https://docs.wto.org/imrd/directdoc.asp?DDFDocuments/t/G/TBTN18/BRA781A7.DOCX")</f>
      </c>
      <c r="P1457" s="6">
        <f>HYPERLINK("https://docs.wto.org/imrd/directdoc.asp?DDFDocuments/u/G/TBTN18/BRA781A7.DOCX", "https://docs.wto.org/imrd/directdoc.asp?DDFDocuments/u/G/TBTN18/BRA781A7.DOCX")</f>
      </c>
      <c r="Q1457" s="6">
        <f>HYPERLINK("https://docs.wto.org/imrd/directdoc.asp?DDFDocuments/v/G/TBTN18/BRA781A7.DOCX", "https://docs.wto.org/imrd/directdoc.asp?DDFDocuments/v/G/TBTN18/BRA781A7.DOCX")</f>
      </c>
    </row>
    <row r="1458">
      <c r="A1458" s="6" t="s">
        <v>880</v>
      </c>
      <c r="B1458" s="7">
        <v>45475</v>
      </c>
      <c r="C1458" s="6">
        <f>HYPERLINK("https://eping.wto.org/en/Search?viewData= G/TBT/N/BDI/335/Add.1, G/TBT/N/KEN/1397/Add.1, G/TBT/N/RWA/842/Add.1, G/TBT/N/TZA/921/Add.1, G/TBT/N/UGA/1750/Add.1"," G/TBT/N/BDI/335/Add.1, G/TBT/N/KEN/1397/Add.1, G/TBT/N/RWA/842/Add.1, G/TBT/N/TZA/921/Add.1, G/TBT/N/UGA/1750/Add.1")</f>
      </c>
      <c r="D1458" s="8" t="s">
        <v>4619</v>
      </c>
      <c r="E1458" s="8" t="s">
        <v>4620</v>
      </c>
      <c r="F1458" s="8" t="s">
        <v>4298</v>
      </c>
      <c r="G1458" s="6" t="s">
        <v>4299</v>
      </c>
      <c r="H1458" s="6" t="s">
        <v>3048</v>
      </c>
      <c r="I1458" s="6" t="s">
        <v>4556</v>
      </c>
      <c r="J1458" s="6" t="s">
        <v>3826</v>
      </c>
      <c r="K1458" s="6"/>
      <c r="L1458" s="7" t="s">
        <v>40</v>
      </c>
      <c r="M1458" s="6" t="s">
        <v>76</v>
      </c>
      <c r="N1458" s="6"/>
      <c r="O1458" s="6">
        <f>HYPERLINK("https://docs.wto.org/imrd/directdoc.asp?DDFDocuments/t/G/TBTN23/BDI335A1.DOCX", "https://docs.wto.org/imrd/directdoc.asp?DDFDocuments/t/G/TBTN23/BDI335A1.DOCX")</f>
      </c>
      <c r="P1458" s="6">
        <f>HYPERLINK("https://docs.wto.org/imrd/directdoc.asp?DDFDocuments/u/G/TBTN23/BDI335A1.DOCX", "https://docs.wto.org/imrd/directdoc.asp?DDFDocuments/u/G/TBTN23/BDI335A1.DOCX")</f>
      </c>
      <c r="Q1458" s="6">
        <f>HYPERLINK("https://docs.wto.org/imrd/directdoc.asp?DDFDocuments/v/G/TBTN23/BDI335A1.DOCX", "https://docs.wto.org/imrd/directdoc.asp?DDFDocuments/v/G/TBTN23/BDI335A1.DOCX")</f>
      </c>
    </row>
    <row r="1459">
      <c r="A1459" s="6" t="s">
        <v>180</v>
      </c>
      <c r="B1459" s="7">
        <v>45475</v>
      </c>
      <c r="C1459" s="6">
        <f>HYPERLINK("https://eping.wto.org/en/Search?viewData= G/SPS/N/CRI/277"," G/SPS/N/CRI/277")</f>
      </c>
      <c r="D1459" s="8" t="s">
        <v>4621</v>
      </c>
      <c r="E1459" s="8" t="s">
        <v>4622</v>
      </c>
      <c r="F1459" s="8" t="s">
        <v>526</v>
      </c>
      <c r="G1459" s="6" t="s">
        <v>368</v>
      </c>
      <c r="H1459" s="6" t="s">
        <v>40</v>
      </c>
      <c r="I1459" s="6" t="s">
        <v>184</v>
      </c>
      <c r="J1459" s="6" t="s">
        <v>410</v>
      </c>
      <c r="K1459" s="6" t="s">
        <v>40</v>
      </c>
      <c r="L1459" s="7">
        <v>45535</v>
      </c>
      <c r="M1459" s="6" t="s">
        <v>25</v>
      </c>
      <c r="N1459" s="8" t="s">
        <v>4623</v>
      </c>
      <c r="O1459" s="6">
        <f>HYPERLINK("https://docs.wto.org/imrd/directdoc.asp?DDFDocuments/t/G/SPS/NCRI277.DOCX", "https://docs.wto.org/imrd/directdoc.asp?DDFDocuments/t/G/SPS/NCRI277.DOCX")</f>
      </c>
      <c r="P1459" s="6">
        <f>HYPERLINK("https://docs.wto.org/imrd/directdoc.asp?DDFDocuments/u/G/SPS/NCRI277.DOCX", "https://docs.wto.org/imrd/directdoc.asp?DDFDocuments/u/G/SPS/NCRI277.DOCX")</f>
      </c>
      <c r="Q1459" s="6">
        <f>HYPERLINK("https://docs.wto.org/imrd/directdoc.asp?DDFDocuments/v/G/SPS/NCRI277.DOCX", "https://docs.wto.org/imrd/directdoc.asp?DDFDocuments/v/G/SPS/NCRI277.DOCX")</f>
      </c>
    </row>
    <row r="1460">
      <c r="A1460" s="6" t="s">
        <v>115</v>
      </c>
      <c r="B1460" s="7">
        <v>45475</v>
      </c>
      <c r="C1460" s="6">
        <f>HYPERLINK("https://eping.wto.org/en/Search?viewData= G/SPS/N/BRA/2294/Add.1"," G/SPS/N/BRA/2294/Add.1")</f>
      </c>
      <c r="D1460" s="8" t="s">
        <v>4624</v>
      </c>
      <c r="E1460" s="8" t="s">
        <v>4625</v>
      </c>
      <c r="F1460" s="8" t="s">
        <v>233</v>
      </c>
      <c r="G1460" s="6" t="s">
        <v>40</v>
      </c>
      <c r="H1460" s="6" t="s">
        <v>398</v>
      </c>
      <c r="I1460" s="6" t="s">
        <v>38</v>
      </c>
      <c r="J1460" s="6" t="s">
        <v>384</v>
      </c>
      <c r="K1460" s="6"/>
      <c r="L1460" s="7">
        <v>45535</v>
      </c>
      <c r="M1460" s="6" t="s">
        <v>76</v>
      </c>
      <c r="N1460" s="8" t="s">
        <v>4626</v>
      </c>
      <c r="O1460" s="6">
        <f>HYPERLINK("https://docs.wto.org/imrd/directdoc.asp?DDFDocuments/t/G/SPS/NBRA2294A1.DOCX", "https://docs.wto.org/imrd/directdoc.asp?DDFDocuments/t/G/SPS/NBRA2294A1.DOCX")</f>
      </c>
      <c r="P1460" s="6">
        <f>HYPERLINK("https://docs.wto.org/imrd/directdoc.asp?DDFDocuments/u/G/SPS/NBRA2294A1.DOCX", "https://docs.wto.org/imrd/directdoc.asp?DDFDocuments/u/G/SPS/NBRA2294A1.DOCX")</f>
      </c>
      <c r="Q1460" s="6">
        <f>HYPERLINK("https://docs.wto.org/imrd/directdoc.asp?DDFDocuments/v/G/SPS/NBRA2294A1.DOCX", "https://docs.wto.org/imrd/directdoc.asp?DDFDocuments/v/G/SPS/NBRA2294A1.DOCX")</f>
      </c>
    </row>
    <row r="1461">
      <c r="A1461" s="6" t="s">
        <v>515</v>
      </c>
      <c r="B1461" s="7">
        <v>45475</v>
      </c>
      <c r="C1461" s="6">
        <f>HYPERLINK("https://eping.wto.org/en/Search?viewData= G/SPS/N/EU/780"," G/SPS/N/EU/780")</f>
      </c>
      <c r="D1461" s="8" t="s">
        <v>4627</v>
      </c>
      <c r="E1461" s="8" t="s">
        <v>4628</v>
      </c>
      <c r="F1461" s="8" t="s">
        <v>4629</v>
      </c>
      <c r="G1461" s="6" t="s">
        <v>4630</v>
      </c>
      <c r="H1461" s="6" t="s">
        <v>40</v>
      </c>
      <c r="I1461" s="6" t="s">
        <v>38</v>
      </c>
      <c r="J1461" s="6" t="s">
        <v>103</v>
      </c>
      <c r="K1461" s="6"/>
      <c r="L1461" s="7">
        <v>45535</v>
      </c>
      <c r="M1461" s="6" t="s">
        <v>25</v>
      </c>
      <c r="N1461" s="8" t="s">
        <v>4631</v>
      </c>
      <c r="O1461" s="6">
        <f>HYPERLINK("https://docs.wto.org/imrd/directdoc.asp?DDFDocuments/t/G/SPS/NEU780.DOCX", "https://docs.wto.org/imrd/directdoc.asp?DDFDocuments/t/G/SPS/NEU780.DOCX")</f>
      </c>
      <c r="P1461" s="6">
        <f>HYPERLINK("https://docs.wto.org/imrd/directdoc.asp?DDFDocuments/u/G/SPS/NEU780.DOCX", "https://docs.wto.org/imrd/directdoc.asp?DDFDocuments/u/G/SPS/NEU780.DOCX")</f>
      </c>
      <c r="Q1461" s="6">
        <f>HYPERLINK("https://docs.wto.org/imrd/directdoc.asp?DDFDocuments/v/G/SPS/NEU780.DOCX", "https://docs.wto.org/imrd/directdoc.asp?DDFDocuments/v/G/SPS/NEU780.DOCX")</f>
      </c>
    </row>
    <row r="1462">
      <c r="A1462" s="6" t="s">
        <v>2030</v>
      </c>
      <c r="B1462" s="7">
        <v>45475</v>
      </c>
      <c r="C1462" s="6">
        <f>HYPERLINK("https://eping.wto.org/en/Search?viewData= G/TBT/N/BDI/335/Add.1, G/TBT/N/KEN/1397/Add.1, G/TBT/N/RWA/842/Add.1, G/TBT/N/TZA/921/Add.1, G/TBT/N/UGA/1750/Add.1"," G/TBT/N/BDI/335/Add.1, G/TBT/N/KEN/1397/Add.1, G/TBT/N/RWA/842/Add.1, G/TBT/N/TZA/921/Add.1, G/TBT/N/UGA/1750/Add.1")</f>
      </c>
      <c r="D1462" s="8" t="s">
        <v>4619</v>
      </c>
      <c r="E1462" s="8" t="s">
        <v>4620</v>
      </c>
      <c r="F1462" s="8" t="s">
        <v>4298</v>
      </c>
      <c r="G1462" s="6" t="s">
        <v>4299</v>
      </c>
      <c r="H1462" s="6" t="s">
        <v>3048</v>
      </c>
      <c r="I1462" s="6" t="s">
        <v>4476</v>
      </c>
      <c r="J1462" s="6" t="s">
        <v>3826</v>
      </c>
      <c r="K1462" s="6"/>
      <c r="L1462" s="7" t="s">
        <v>40</v>
      </c>
      <c r="M1462" s="6" t="s">
        <v>76</v>
      </c>
      <c r="N1462" s="6"/>
      <c r="O1462" s="6">
        <f>HYPERLINK("https://docs.wto.org/imrd/directdoc.asp?DDFDocuments/t/G/TBTN23/BDI335A1.DOCX", "https://docs.wto.org/imrd/directdoc.asp?DDFDocuments/t/G/TBTN23/BDI335A1.DOCX")</f>
      </c>
      <c r="P1462" s="6">
        <f>HYPERLINK("https://docs.wto.org/imrd/directdoc.asp?DDFDocuments/u/G/TBTN23/BDI335A1.DOCX", "https://docs.wto.org/imrd/directdoc.asp?DDFDocuments/u/G/TBTN23/BDI335A1.DOCX")</f>
      </c>
      <c r="Q1462" s="6">
        <f>HYPERLINK("https://docs.wto.org/imrd/directdoc.asp?DDFDocuments/v/G/TBTN23/BDI335A1.DOCX", "https://docs.wto.org/imrd/directdoc.asp?DDFDocuments/v/G/TBTN23/BDI335A1.DOCX")</f>
      </c>
    </row>
    <row r="1463">
      <c r="A1463" s="6" t="s">
        <v>17</v>
      </c>
      <c r="B1463" s="7">
        <v>45475</v>
      </c>
      <c r="C1463" s="6">
        <f>HYPERLINK("https://eping.wto.org/en/Search?viewData= G/TBT/N/BDI/334/Add.1, G/TBT/N/KEN/1396/Add.1, G/TBT/N/RWA/841/Add.1, G/TBT/N/TZA/920/Add.1, G/TBT/N/UGA/1749/Add.1"," G/TBT/N/BDI/334/Add.1, G/TBT/N/KEN/1396/Add.1, G/TBT/N/RWA/841/Add.1, G/TBT/N/TZA/920/Add.1, G/TBT/N/UGA/1749/Add.1")</f>
      </c>
      <c r="D1463" s="8" t="s">
        <v>4320</v>
      </c>
      <c r="E1463" s="8" t="s">
        <v>4632</v>
      </c>
      <c r="F1463" s="8" t="s">
        <v>4298</v>
      </c>
      <c r="G1463" s="6" t="s">
        <v>4299</v>
      </c>
      <c r="H1463" s="6" t="s">
        <v>3048</v>
      </c>
      <c r="I1463" s="6" t="s">
        <v>4556</v>
      </c>
      <c r="J1463" s="6" t="s">
        <v>3826</v>
      </c>
      <c r="K1463" s="6"/>
      <c r="L1463" s="7" t="s">
        <v>40</v>
      </c>
      <c r="M1463" s="6" t="s">
        <v>76</v>
      </c>
      <c r="N1463" s="6"/>
      <c r="O1463" s="6">
        <f>HYPERLINK("https://docs.wto.org/imrd/directdoc.asp?DDFDocuments/t/G/TBTN23/BDI334A1.DOCX", "https://docs.wto.org/imrd/directdoc.asp?DDFDocuments/t/G/TBTN23/BDI334A1.DOCX")</f>
      </c>
      <c r="P1463" s="6">
        <f>HYPERLINK("https://docs.wto.org/imrd/directdoc.asp?DDFDocuments/u/G/TBTN23/BDI334A1.DOCX", "https://docs.wto.org/imrd/directdoc.asp?DDFDocuments/u/G/TBTN23/BDI334A1.DOCX")</f>
      </c>
      <c r="Q1463" s="6">
        <f>HYPERLINK("https://docs.wto.org/imrd/directdoc.asp?DDFDocuments/v/G/TBTN23/BDI334A1.DOCX", "https://docs.wto.org/imrd/directdoc.asp?DDFDocuments/v/G/TBTN23/BDI334A1.DOCX")</f>
      </c>
    </row>
    <row r="1464">
      <c r="A1464" s="6" t="s">
        <v>17</v>
      </c>
      <c r="B1464" s="7">
        <v>45475</v>
      </c>
      <c r="C1464" s="6">
        <f>HYPERLINK("https://eping.wto.org/en/Search?viewData= G/TBT/N/BDI/335/Add.1, G/TBT/N/KEN/1397/Add.1, G/TBT/N/RWA/842/Add.1, G/TBT/N/TZA/921/Add.1, G/TBT/N/UGA/1750/Add.1"," G/TBT/N/BDI/335/Add.1, G/TBT/N/KEN/1397/Add.1, G/TBT/N/RWA/842/Add.1, G/TBT/N/TZA/921/Add.1, G/TBT/N/UGA/1750/Add.1")</f>
      </c>
      <c r="D1464" s="8" t="s">
        <v>4619</v>
      </c>
      <c r="E1464" s="8" t="s">
        <v>4620</v>
      </c>
      <c r="F1464" s="8" t="s">
        <v>4298</v>
      </c>
      <c r="G1464" s="6" t="s">
        <v>4299</v>
      </c>
      <c r="H1464" s="6" t="s">
        <v>3048</v>
      </c>
      <c r="I1464" s="6" t="s">
        <v>4556</v>
      </c>
      <c r="J1464" s="6" t="s">
        <v>3826</v>
      </c>
      <c r="K1464" s="6"/>
      <c r="L1464" s="7" t="s">
        <v>40</v>
      </c>
      <c r="M1464" s="6" t="s">
        <v>76</v>
      </c>
      <c r="N1464" s="6"/>
      <c r="O1464" s="6">
        <f>HYPERLINK("https://docs.wto.org/imrd/directdoc.asp?DDFDocuments/t/G/TBTN23/BDI335A1.DOCX", "https://docs.wto.org/imrd/directdoc.asp?DDFDocuments/t/G/TBTN23/BDI335A1.DOCX")</f>
      </c>
      <c r="P1464" s="6">
        <f>HYPERLINK("https://docs.wto.org/imrd/directdoc.asp?DDFDocuments/u/G/TBTN23/BDI335A1.DOCX", "https://docs.wto.org/imrd/directdoc.asp?DDFDocuments/u/G/TBTN23/BDI335A1.DOCX")</f>
      </c>
      <c r="Q1464" s="6">
        <f>HYPERLINK("https://docs.wto.org/imrd/directdoc.asp?DDFDocuments/v/G/TBTN23/BDI335A1.DOCX", "https://docs.wto.org/imrd/directdoc.asp?DDFDocuments/v/G/TBTN23/BDI335A1.DOCX")</f>
      </c>
    </row>
    <row r="1465">
      <c r="A1465" s="6" t="s">
        <v>89</v>
      </c>
      <c r="B1465" s="7">
        <v>45475</v>
      </c>
      <c r="C1465" s="6">
        <f>HYPERLINK("https://eping.wto.org/en/Search?viewData= G/TBT/N/ECU/545"," G/TBT/N/ECU/545")</f>
      </c>
      <c r="D1465" s="8" t="s">
        <v>4633</v>
      </c>
      <c r="E1465" s="8" t="s">
        <v>4634</v>
      </c>
      <c r="F1465" s="8" t="s">
        <v>4635</v>
      </c>
      <c r="G1465" s="6" t="s">
        <v>4636</v>
      </c>
      <c r="H1465" s="6" t="s">
        <v>4637</v>
      </c>
      <c r="I1465" s="6" t="s">
        <v>94</v>
      </c>
      <c r="J1465" s="6" t="s">
        <v>40</v>
      </c>
      <c r="K1465" s="6"/>
      <c r="L1465" s="7">
        <v>45535</v>
      </c>
      <c r="M1465" s="6" t="s">
        <v>25</v>
      </c>
      <c r="N1465" s="8" t="s">
        <v>4638</v>
      </c>
      <c r="O1465" s="6">
        <f>HYPERLINK("https://docs.wto.org/imrd/directdoc.asp?DDFDocuments/t/G/TBTN24/ECU545.DOCX", "https://docs.wto.org/imrd/directdoc.asp?DDFDocuments/t/G/TBTN24/ECU545.DOCX")</f>
      </c>
      <c r="P1465" s="6">
        <f>HYPERLINK("https://docs.wto.org/imrd/directdoc.asp?DDFDocuments/u/G/TBTN24/ECU545.DOCX", "https://docs.wto.org/imrd/directdoc.asp?DDFDocuments/u/G/TBTN24/ECU545.DOCX")</f>
      </c>
      <c r="Q1465" s="6">
        <f>HYPERLINK("https://docs.wto.org/imrd/directdoc.asp?DDFDocuments/v/G/TBTN24/ECU545.DOCX", "https://docs.wto.org/imrd/directdoc.asp?DDFDocuments/v/G/TBTN24/ECU545.DOCX")</f>
      </c>
    </row>
    <row r="1466">
      <c r="A1466" s="6" t="s">
        <v>331</v>
      </c>
      <c r="B1466" s="7">
        <v>45475</v>
      </c>
      <c r="C1466" s="6">
        <f>HYPERLINK("https://eping.wto.org/en/Search?viewData= G/TBT/N/ARE/614, G/TBT/N/BHR/700, G/TBT/N/KWT/680, G/TBT/N/OMN/525, G/TBT/N/QAT/676, G/TBT/N/SAU/1337, G/TBT/N/YEM/282"," G/TBT/N/ARE/614, G/TBT/N/BHR/700, G/TBT/N/KWT/680, G/TBT/N/OMN/525, G/TBT/N/QAT/676, G/TBT/N/SAU/1337, G/TBT/N/YEM/282")</f>
      </c>
      <c r="D1466" s="8" t="s">
        <v>4597</v>
      </c>
      <c r="E1466" s="8" t="s">
        <v>4598</v>
      </c>
      <c r="F1466" s="8" t="s">
        <v>35</v>
      </c>
      <c r="G1466" s="6" t="s">
        <v>44</v>
      </c>
      <c r="H1466" s="6" t="s">
        <v>37</v>
      </c>
      <c r="I1466" s="6" t="s">
        <v>259</v>
      </c>
      <c r="J1466" s="6" t="s">
        <v>24</v>
      </c>
      <c r="K1466" s="6"/>
      <c r="L1466" s="7">
        <v>45535</v>
      </c>
      <c r="M1466" s="6" t="s">
        <v>25</v>
      </c>
      <c r="N1466" s="8" t="s">
        <v>4599</v>
      </c>
      <c r="O1466" s="6">
        <f>HYPERLINK("https://docs.wto.org/imrd/directdoc.asp?DDFDocuments/t/G/TBTN24/ARE614.DOCX", "https://docs.wto.org/imrd/directdoc.asp?DDFDocuments/t/G/TBTN24/ARE614.DOCX")</f>
      </c>
      <c r="P1466" s="6">
        <f>HYPERLINK("https://docs.wto.org/imrd/directdoc.asp?DDFDocuments/u/G/TBTN24/ARE614.DOCX", "https://docs.wto.org/imrd/directdoc.asp?DDFDocuments/u/G/TBTN24/ARE614.DOCX")</f>
      </c>
      <c r="Q1466" s="6">
        <f>HYPERLINK("https://docs.wto.org/imrd/directdoc.asp?DDFDocuments/v/G/TBTN24/ARE614.DOCX", "https://docs.wto.org/imrd/directdoc.asp?DDFDocuments/v/G/TBTN24/ARE614.DOCX")</f>
      </c>
    </row>
    <row r="1467">
      <c r="A1467" s="6" t="s">
        <v>392</v>
      </c>
      <c r="B1467" s="7">
        <v>45475</v>
      </c>
      <c r="C1467" s="6">
        <f>HYPERLINK("https://eping.wto.org/en/Search?viewData= G/TBT/N/ARE/614, G/TBT/N/BHR/700, G/TBT/N/KWT/680, G/TBT/N/OMN/525, G/TBT/N/QAT/676, G/TBT/N/SAU/1337, G/TBT/N/YEM/282"," G/TBT/N/ARE/614, G/TBT/N/BHR/700, G/TBT/N/KWT/680, G/TBT/N/OMN/525, G/TBT/N/QAT/676, G/TBT/N/SAU/1337, G/TBT/N/YEM/282")</f>
      </c>
      <c r="D1467" s="8" t="s">
        <v>4597</v>
      </c>
      <c r="E1467" s="8" t="s">
        <v>4598</v>
      </c>
      <c r="F1467" s="8" t="s">
        <v>35</v>
      </c>
      <c r="G1467" s="6" t="s">
        <v>44</v>
      </c>
      <c r="H1467" s="6" t="s">
        <v>37</v>
      </c>
      <c r="I1467" s="6" t="s">
        <v>259</v>
      </c>
      <c r="J1467" s="6" t="s">
        <v>24</v>
      </c>
      <c r="K1467" s="6"/>
      <c r="L1467" s="7">
        <v>45535</v>
      </c>
      <c r="M1467" s="6" t="s">
        <v>25</v>
      </c>
      <c r="N1467" s="8" t="s">
        <v>4599</v>
      </c>
      <c r="O1467" s="6">
        <f>HYPERLINK("https://docs.wto.org/imrd/directdoc.asp?DDFDocuments/t/G/TBTN24/ARE614.DOCX", "https://docs.wto.org/imrd/directdoc.asp?DDFDocuments/t/G/TBTN24/ARE614.DOCX")</f>
      </c>
      <c r="P1467" s="6">
        <f>HYPERLINK("https://docs.wto.org/imrd/directdoc.asp?DDFDocuments/u/G/TBTN24/ARE614.DOCX", "https://docs.wto.org/imrd/directdoc.asp?DDFDocuments/u/G/TBTN24/ARE614.DOCX")</f>
      </c>
      <c r="Q1467" s="6">
        <f>HYPERLINK("https://docs.wto.org/imrd/directdoc.asp?DDFDocuments/v/G/TBTN24/ARE614.DOCX", "https://docs.wto.org/imrd/directdoc.asp?DDFDocuments/v/G/TBTN24/ARE614.DOCX")</f>
      </c>
    </row>
    <row r="1468">
      <c r="A1468" s="6" t="s">
        <v>2041</v>
      </c>
      <c r="B1468" s="7">
        <v>45475</v>
      </c>
      <c r="C1468" s="6">
        <f>HYPERLINK("https://eping.wto.org/en/Search?viewData= G/TBT/N/BDI/334/Add.1, G/TBT/N/KEN/1396/Add.1, G/TBT/N/RWA/841/Add.1, G/TBT/N/TZA/920/Add.1, G/TBT/N/UGA/1749/Add.1"," G/TBT/N/BDI/334/Add.1, G/TBT/N/KEN/1396/Add.1, G/TBT/N/RWA/841/Add.1, G/TBT/N/TZA/920/Add.1, G/TBT/N/UGA/1749/Add.1")</f>
      </c>
      <c r="D1468" s="8" t="s">
        <v>4320</v>
      </c>
      <c r="E1468" s="8" t="s">
        <v>4632</v>
      </c>
      <c r="F1468" s="8" t="s">
        <v>4298</v>
      </c>
      <c r="G1468" s="6" t="s">
        <v>4299</v>
      </c>
      <c r="H1468" s="6" t="s">
        <v>3048</v>
      </c>
      <c r="I1468" s="6" t="s">
        <v>4556</v>
      </c>
      <c r="J1468" s="6" t="s">
        <v>3826</v>
      </c>
      <c r="K1468" s="6"/>
      <c r="L1468" s="7" t="s">
        <v>40</v>
      </c>
      <c r="M1468" s="6" t="s">
        <v>76</v>
      </c>
      <c r="N1468" s="6"/>
      <c r="O1468" s="6">
        <f>HYPERLINK("https://docs.wto.org/imrd/directdoc.asp?DDFDocuments/t/G/TBTN23/BDI334A1.DOCX", "https://docs.wto.org/imrd/directdoc.asp?DDFDocuments/t/G/TBTN23/BDI334A1.DOCX")</f>
      </c>
      <c r="P1468" s="6">
        <f>HYPERLINK("https://docs.wto.org/imrd/directdoc.asp?DDFDocuments/u/G/TBTN23/BDI334A1.DOCX", "https://docs.wto.org/imrd/directdoc.asp?DDFDocuments/u/G/TBTN23/BDI334A1.DOCX")</f>
      </c>
      <c r="Q1468" s="6">
        <f>HYPERLINK("https://docs.wto.org/imrd/directdoc.asp?DDFDocuments/v/G/TBTN23/BDI334A1.DOCX", "https://docs.wto.org/imrd/directdoc.asp?DDFDocuments/v/G/TBTN23/BDI334A1.DOCX")</f>
      </c>
    </row>
    <row r="1469">
      <c r="A1469" s="6" t="s">
        <v>2041</v>
      </c>
      <c r="B1469" s="7">
        <v>45475</v>
      </c>
      <c r="C1469" s="6">
        <f>HYPERLINK("https://eping.wto.org/en/Search?viewData= G/TBT/N/BDI/336/Add.1, G/TBT/N/KEN/1398/Add.1, G/TBT/N/RWA/843/Add.1, G/TBT/N/TZA/922/Add.1, G/TBT/N/UGA/1751/Add.1"," G/TBT/N/BDI/336/Add.1, G/TBT/N/KEN/1398/Add.1, G/TBT/N/RWA/843/Add.1, G/TBT/N/TZA/922/Add.1, G/TBT/N/UGA/1751/Add.1")</f>
      </c>
      <c r="D1469" s="8" t="s">
        <v>4301</v>
      </c>
      <c r="E1469" s="8" t="s">
        <v>4600</v>
      </c>
      <c r="F1469" s="8" t="s">
        <v>4298</v>
      </c>
      <c r="G1469" s="6" t="s">
        <v>4299</v>
      </c>
      <c r="H1469" s="6" t="s">
        <v>3048</v>
      </c>
      <c r="I1469" s="6" t="s">
        <v>4610</v>
      </c>
      <c r="J1469" s="6" t="s">
        <v>3826</v>
      </c>
      <c r="K1469" s="6"/>
      <c r="L1469" s="7" t="s">
        <v>40</v>
      </c>
      <c r="M1469" s="6" t="s">
        <v>76</v>
      </c>
      <c r="N1469" s="6"/>
      <c r="O1469" s="6">
        <f>HYPERLINK("https://docs.wto.org/imrd/directdoc.asp?DDFDocuments/t/G/TBTN23/BDI336A1.DOCX", "https://docs.wto.org/imrd/directdoc.asp?DDFDocuments/t/G/TBTN23/BDI336A1.DOCX")</f>
      </c>
      <c r="P1469" s="6">
        <f>HYPERLINK("https://docs.wto.org/imrd/directdoc.asp?DDFDocuments/u/G/TBTN23/BDI336A1.DOCX", "https://docs.wto.org/imrd/directdoc.asp?DDFDocuments/u/G/TBTN23/BDI336A1.DOCX")</f>
      </c>
      <c r="Q1469" s="6">
        <f>HYPERLINK("https://docs.wto.org/imrd/directdoc.asp?DDFDocuments/v/G/TBTN23/BDI336A1.DOCX", "https://docs.wto.org/imrd/directdoc.asp?DDFDocuments/v/G/TBTN23/BDI336A1.DOCX")</f>
      </c>
    </row>
    <row r="1470">
      <c r="A1470" s="6" t="s">
        <v>239</v>
      </c>
      <c r="B1470" s="7">
        <v>45475</v>
      </c>
      <c r="C1470" s="6">
        <f>HYPERLINK("https://eping.wto.org/en/Search?viewData= G/SPS/N/VNM/122/Add.1"," G/SPS/N/VNM/122/Add.1")</f>
      </c>
      <c r="D1470" s="8" t="s">
        <v>4639</v>
      </c>
      <c r="E1470" s="8" t="s">
        <v>4640</v>
      </c>
      <c r="F1470" s="8" t="s">
        <v>4641</v>
      </c>
      <c r="G1470" s="6" t="s">
        <v>40</v>
      </c>
      <c r="H1470" s="6" t="s">
        <v>40</v>
      </c>
      <c r="I1470" s="6" t="s">
        <v>38</v>
      </c>
      <c r="J1470" s="6" t="s">
        <v>4642</v>
      </c>
      <c r="K1470" s="6"/>
      <c r="L1470" s="7" t="s">
        <v>40</v>
      </c>
      <c r="M1470" s="6" t="s">
        <v>76</v>
      </c>
      <c r="N1470" s="6"/>
      <c r="O1470" s="6">
        <f>HYPERLINK("https://docs.wto.org/imrd/directdoc.asp?DDFDocuments/t/G/SPS/NVNM122A1.DOCX", "https://docs.wto.org/imrd/directdoc.asp?DDFDocuments/t/G/SPS/NVNM122A1.DOCX")</f>
      </c>
      <c r="P1470" s="6">
        <f>HYPERLINK("https://docs.wto.org/imrd/directdoc.asp?DDFDocuments/u/G/SPS/NVNM122A1.DOCX", "https://docs.wto.org/imrd/directdoc.asp?DDFDocuments/u/G/SPS/NVNM122A1.DOCX")</f>
      </c>
      <c r="Q1470" s="6">
        <f>HYPERLINK("https://docs.wto.org/imrd/directdoc.asp?DDFDocuments/v/G/SPS/NVNM122A1.DOCX", "https://docs.wto.org/imrd/directdoc.asp?DDFDocuments/v/G/SPS/NVNM122A1.DOCX")</f>
      </c>
    </row>
    <row r="1471">
      <c r="A1471" s="6" t="s">
        <v>393</v>
      </c>
      <c r="B1471" s="7">
        <v>45475</v>
      </c>
      <c r="C1471" s="6">
        <f>HYPERLINK("https://eping.wto.org/en/Search?viewData= G/TBT/N/ARE/614, G/TBT/N/BHR/700, G/TBT/N/KWT/680, G/TBT/N/OMN/525, G/TBT/N/QAT/676, G/TBT/N/SAU/1337, G/TBT/N/YEM/282"," G/TBT/N/ARE/614, G/TBT/N/BHR/700, G/TBT/N/KWT/680, G/TBT/N/OMN/525, G/TBT/N/QAT/676, G/TBT/N/SAU/1337, G/TBT/N/YEM/282")</f>
      </c>
      <c r="D1471" s="8" t="s">
        <v>4597</v>
      </c>
      <c r="E1471" s="8" t="s">
        <v>4598</v>
      </c>
      <c r="F1471" s="8" t="s">
        <v>35</v>
      </c>
      <c r="G1471" s="6" t="s">
        <v>44</v>
      </c>
      <c r="H1471" s="6" t="s">
        <v>37</v>
      </c>
      <c r="I1471" s="6" t="s">
        <v>259</v>
      </c>
      <c r="J1471" s="6" t="s">
        <v>24</v>
      </c>
      <c r="K1471" s="6"/>
      <c r="L1471" s="7">
        <v>45535</v>
      </c>
      <c r="M1471" s="6" t="s">
        <v>25</v>
      </c>
      <c r="N1471" s="8" t="s">
        <v>4599</v>
      </c>
      <c r="O1471" s="6">
        <f>HYPERLINK("https://docs.wto.org/imrd/directdoc.asp?DDFDocuments/t/G/TBTN24/ARE614.DOCX", "https://docs.wto.org/imrd/directdoc.asp?DDFDocuments/t/G/TBTN24/ARE614.DOCX")</f>
      </c>
      <c r="P1471" s="6">
        <f>HYPERLINK("https://docs.wto.org/imrd/directdoc.asp?DDFDocuments/u/G/TBTN24/ARE614.DOCX", "https://docs.wto.org/imrd/directdoc.asp?DDFDocuments/u/G/TBTN24/ARE614.DOCX")</f>
      </c>
      <c r="Q1471" s="6">
        <f>HYPERLINK("https://docs.wto.org/imrd/directdoc.asp?DDFDocuments/v/G/TBTN24/ARE614.DOCX", "https://docs.wto.org/imrd/directdoc.asp?DDFDocuments/v/G/TBTN24/ARE614.DOCX")</f>
      </c>
    </row>
    <row r="1472">
      <c r="A1472" s="6" t="s">
        <v>2024</v>
      </c>
      <c r="B1472" s="7">
        <v>45475</v>
      </c>
      <c r="C1472" s="6">
        <f>HYPERLINK("https://eping.wto.org/en/Search?viewData= G/TBT/N/BDI/334/Add.1, G/TBT/N/KEN/1396/Add.1, G/TBT/N/RWA/841/Add.1, G/TBT/N/TZA/920/Add.1, G/TBT/N/UGA/1749/Add.1"," G/TBT/N/BDI/334/Add.1, G/TBT/N/KEN/1396/Add.1, G/TBT/N/RWA/841/Add.1, G/TBT/N/TZA/920/Add.1, G/TBT/N/UGA/1749/Add.1")</f>
      </c>
      <c r="D1472" s="8" t="s">
        <v>4320</v>
      </c>
      <c r="E1472" s="8" t="s">
        <v>4632</v>
      </c>
      <c r="F1472" s="8" t="s">
        <v>4298</v>
      </c>
      <c r="G1472" s="6" t="s">
        <v>4299</v>
      </c>
      <c r="H1472" s="6" t="s">
        <v>3048</v>
      </c>
      <c r="I1472" s="6" t="s">
        <v>4556</v>
      </c>
      <c r="J1472" s="6" t="s">
        <v>3826</v>
      </c>
      <c r="K1472" s="6"/>
      <c r="L1472" s="7" t="s">
        <v>40</v>
      </c>
      <c r="M1472" s="6" t="s">
        <v>76</v>
      </c>
      <c r="N1472" s="6"/>
      <c r="O1472" s="6">
        <f>HYPERLINK("https://docs.wto.org/imrd/directdoc.asp?DDFDocuments/t/G/TBTN23/BDI334A1.DOCX", "https://docs.wto.org/imrd/directdoc.asp?DDFDocuments/t/G/TBTN23/BDI334A1.DOCX")</f>
      </c>
      <c r="P1472" s="6">
        <f>HYPERLINK("https://docs.wto.org/imrd/directdoc.asp?DDFDocuments/u/G/TBTN23/BDI334A1.DOCX", "https://docs.wto.org/imrd/directdoc.asp?DDFDocuments/u/G/TBTN23/BDI334A1.DOCX")</f>
      </c>
      <c r="Q1472" s="6">
        <f>HYPERLINK("https://docs.wto.org/imrd/directdoc.asp?DDFDocuments/v/G/TBTN23/BDI334A1.DOCX", "https://docs.wto.org/imrd/directdoc.asp?DDFDocuments/v/G/TBTN23/BDI334A1.DOCX")</f>
      </c>
    </row>
    <row r="1473">
      <c r="A1473" s="6" t="s">
        <v>2024</v>
      </c>
      <c r="B1473" s="7">
        <v>45475</v>
      </c>
      <c r="C1473" s="6">
        <f>HYPERLINK("https://eping.wto.org/en/Search?viewData= G/TBT/N/BDI/335/Add.1, G/TBT/N/KEN/1397/Add.1, G/TBT/N/RWA/842/Add.1, G/TBT/N/TZA/921/Add.1, G/TBT/N/UGA/1750/Add.1"," G/TBT/N/BDI/335/Add.1, G/TBT/N/KEN/1397/Add.1, G/TBT/N/RWA/842/Add.1, G/TBT/N/TZA/921/Add.1, G/TBT/N/UGA/1750/Add.1")</f>
      </c>
      <c r="D1473" s="8" t="s">
        <v>4619</v>
      </c>
      <c r="E1473" s="8" t="s">
        <v>4620</v>
      </c>
      <c r="F1473" s="8" t="s">
        <v>4298</v>
      </c>
      <c r="G1473" s="6" t="s">
        <v>4299</v>
      </c>
      <c r="H1473" s="6" t="s">
        <v>3048</v>
      </c>
      <c r="I1473" s="6" t="s">
        <v>4556</v>
      </c>
      <c r="J1473" s="6" t="s">
        <v>3826</v>
      </c>
      <c r="K1473" s="6"/>
      <c r="L1473" s="7" t="s">
        <v>40</v>
      </c>
      <c r="M1473" s="6" t="s">
        <v>76</v>
      </c>
      <c r="N1473" s="6"/>
      <c r="O1473" s="6">
        <f>HYPERLINK("https://docs.wto.org/imrd/directdoc.asp?DDFDocuments/t/G/TBTN23/BDI335A1.DOCX", "https://docs.wto.org/imrd/directdoc.asp?DDFDocuments/t/G/TBTN23/BDI335A1.DOCX")</f>
      </c>
      <c r="P1473" s="6">
        <f>HYPERLINK("https://docs.wto.org/imrd/directdoc.asp?DDFDocuments/u/G/TBTN23/BDI335A1.DOCX", "https://docs.wto.org/imrd/directdoc.asp?DDFDocuments/u/G/TBTN23/BDI335A1.DOCX")</f>
      </c>
      <c r="Q1473" s="6">
        <f>HYPERLINK("https://docs.wto.org/imrd/directdoc.asp?DDFDocuments/v/G/TBTN23/BDI335A1.DOCX", "https://docs.wto.org/imrd/directdoc.asp?DDFDocuments/v/G/TBTN23/BDI335A1.DOCX")</f>
      </c>
    </row>
    <row r="1474">
      <c r="A1474" s="6" t="s">
        <v>4073</v>
      </c>
      <c r="B1474" s="7">
        <v>45475</v>
      </c>
      <c r="C1474" s="6">
        <f>HYPERLINK("https://eping.wto.org/en/Search?viewData= G/TBT/N/SWE/147"," G/TBT/N/SWE/147")</f>
      </c>
      <c r="D1474" s="8" t="s">
        <v>4643</v>
      </c>
      <c r="E1474" s="8" t="s">
        <v>4644</v>
      </c>
      <c r="F1474" s="8" t="s">
        <v>4645</v>
      </c>
      <c r="G1474" s="6" t="s">
        <v>40</v>
      </c>
      <c r="H1474" s="6" t="s">
        <v>4646</v>
      </c>
      <c r="I1474" s="6" t="s">
        <v>142</v>
      </c>
      <c r="J1474" s="6" t="s">
        <v>40</v>
      </c>
      <c r="K1474" s="6"/>
      <c r="L1474" s="7">
        <v>45565</v>
      </c>
      <c r="M1474" s="6" t="s">
        <v>25</v>
      </c>
      <c r="N1474" s="8" t="s">
        <v>4647</v>
      </c>
      <c r="O1474" s="6">
        <f>HYPERLINK("https://docs.wto.org/imrd/directdoc.asp?DDFDocuments/t/G/TBTN24/SWE147.DOCX", "https://docs.wto.org/imrd/directdoc.asp?DDFDocuments/t/G/TBTN24/SWE147.DOCX")</f>
      </c>
      <c r="P1474" s="6">
        <f>HYPERLINK("https://docs.wto.org/imrd/directdoc.asp?DDFDocuments/u/G/TBTN24/SWE147.DOCX", "https://docs.wto.org/imrd/directdoc.asp?DDFDocuments/u/G/TBTN24/SWE147.DOCX")</f>
      </c>
      <c r="Q1474" s="6">
        <f>HYPERLINK("https://docs.wto.org/imrd/directdoc.asp?DDFDocuments/v/G/TBTN24/SWE147.DOCX", "https://docs.wto.org/imrd/directdoc.asp?DDFDocuments/v/G/TBTN24/SWE147.DOCX")</f>
      </c>
    </row>
    <row r="1475">
      <c r="A1475" s="6" t="s">
        <v>160</v>
      </c>
      <c r="B1475" s="7">
        <v>45475</v>
      </c>
      <c r="C1475" s="6">
        <f>HYPERLINK("https://eping.wto.org/en/Search?viewData= G/TBT/N/USA/2054/Add.2"," G/TBT/N/USA/2054/Add.2")</f>
      </c>
      <c r="D1475" s="8" t="s">
        <v>4648</v>
      </c>
      <c r="E1475" s="8" t="s">
        <v>4649</v>
      </c>
      <c r="F1475" s="8" t="s">
        <v>4650</v>
      </c>
      <c r="G1475" s="6" t="s">
        <v>40</v>
      </c>
      <c r="H1475" s="6" t="s">
        <v>4651</v>
      </c>
      <c r="I1475" s="6" t="s">
        <v>147</v>
      </c>
      <c r="J1475" s="6" t="s">
        <v>154</v>
      </c>
      <c r="K1475" s="6"/>
      <c r="L1475" s="7" t="s">
        <v>40</v>
      </c>
      <c r="M1475" s="6" t="s">
        <v>76</v>
      </c>
      <c r="N1475" s="8" t="s">
        <v>4652</v>
      </c>
      <c r="O1475" s="6">
        <f>HYPERLINK("https://docs.wto.org/imrd/directdoc.asp?DDFDocuments/t/G/TBTN23/USA2054A2.DOCX", "https://docs.wto.org/imrd/directdoc.asp?DDFDocuments/t/G/TBTN23/USA2054A2.DOCX")</f>
      </c>
      <c r="P1475" s="6">
        <f>HYPERLINK("https://docs.wto.org/imrd/directdoc.asp?DDFDocuments/u/G/TBTN23/USA2054A2.DOCX", "https://docs.wto.org/imrd/directdoc.asp?DDFDocuments/u/G/TBTN23/USA2054A2.DOCX")</f>
      </c>
      <c r="Q1475" s="6">
        <f>HYPERLINK("https://docs.wto.org/imrd/directdoc.asp?DDFDocuments/v/G/TBTN23/USA2054A2.DOCX", "https://docs.wto.org/imrd/directdoc.asp?DDFDocuments/v/G/TBTN23/USA2054A2.DOCX")</f>
      </c>
    </row>
    <row r="1476">
      <c r="A1476" s="6" t="s">
        <v>343</v>
      </c>
      <c r="B1476" s="7">
        <v>45475</v>
      </c>
      <c r="C1476" s="6">
        <f>HYPERLINK("https://eping.wto.org/en/Search?viewData= G/TBT/N/ARE/614, G/TBT/N/BHR/700, G/TBT/N/KWT/680, G/TBT/N/OMN/525, G/TBT/N/QAT/676, G/TBT/N/SAU/1337, G/TBT/N/YEM/282"," G/TBT/N/ARE/614, G/TBT/N/BHR/700, G/TBT/N/KWT/680, G/TBT/N/OMN/525, G/TBT/N/QAT/676, G/TBT/N/SAU/1337, G/TBT/N/YEM/282")</f>
      </c>
      <c r="D1476" s="8" t="s">
        <v>4597</v>
      </c>
      <c r="E1476" s="8" t="s">
        <v>4598</v>
      </c>
      <c r="F1476" s="8" t="s">
        <v>35</v>
      </c>
      <c r="G1476" s="6" t="s">
        <v>44</v>
      </c>
      <c r="H1476" s="6" t="s">
        <v>37</v>
      </c>
      <c r="I1476" s="6" t="s">
        <v>259</v>
      </c>
      <c r="J1476" s="6" t="s">
        <v>24</v>
      </c>
      <c r="K1476" s="6"/>
      <c r="L1476" s="7">
        <v>45535</v>
      </c>
      <c r="M1476" s="6" t="s">
        <v>25</v>
      </c>
      <c r="N1476" s="8" t="s">
        <v>4599</v>
      </c>
      <c r="O1476" s="6">
        <f>HYPERLINK("https://docs.wto.org/imrd/directdoc.asp?DDFDocuments/t/G/TBTN24/ARE614.DOCX", "https://docs.wto.org/imrd/directdoc.asp?DDFDocuments/t/G/TBTN24/ARE614.DOCX")</f>
      </c>
      <c r="P1476" s="6">
        <f>HYPERLINK("https://docs.wto.org/imrd/directdoc.asp?DDFDocuments/u/G/TBTN24/ARE614.DOCX", "https://docs.wto.org/imrd/directdoc.asp?DDFDocuments/u/G/TBTN24/ARE614.DOCX")</f>
      </c>
      <c r="Q1476" s="6">
        <f>HYPERLINK("https://docs.wto.org/imrd/directdoc.asp?DDFDocuments/v/G/TBTN24/ARE614.DOCX", "https://docs.wto.org/imrd/directdoc.asp?DDFDocuments/v/G/TBTN24/ARE614.DOCX")</f>
      </c>
    </row>
    <row r="1477">
      <c r="A1477" s="6" t="s">
        <v>2030</v>
      </c>
      <c r="B1477" s="7">
        <v>45475</v>
      </c>
      <c r="C1477" s="6">
        <f>HYPERLINK("https://eping.wto.org/en/Search?viewData= G/TBT/N/BDI/334/Add.1, G/TBT/N/KEN/1396/Add.1, G/TBT/N/RWA/841/Add.1, G/TBT/N/TZA/920/Add.1, G/TBT/N/UGA/1749/Add.1"," G/TBT/N/BDI/334/Add.1, G/TBT/N/KEN/1396/Add.1, G/TBT/N/RWA/841/Add.1, G/TBT/N/TZA/920/Add.1, G/TBT/N/UGA/1749/Add.1")</f>
      </c>
      <c r="D1477" s="8" t="s">
        <v>4320</v>
      </c>
      <c r="E1477" s="8" t="s">
        <v>4632</v>
      </c>
      <c r="F1477" s="8" t="s">
        <v>4298</v>
      </c>
      <c r="G1477" s="6" t="s">
        <v>4299</v>
      </c>
      <c r="H1477" s="6" t="s">
        <v>3048</v>
      </c>
      <c r="I1477" s="6" t="s">
        <v>4476</v>
      </c>
      <c r="J1477" s="6" t="s">
        <v>3826</v>
      </c>
      <c r="K1477" s="6"/>
      <c r="L1477" s="7" t="s">
        <v>40</v>
      </c>
      <c r="M1477" s="6" t="s">
        <v>76</v>
      </c>
      <c r="N1477" s="6"/>
      <c r="O1477" s="6">
        <f>HYPERLINK("https://docs.wto.org/imrd/directdoc.asp?DDFDocuments/t/G/TBTN23/BDI334A1.DOCX", "https://docs.wto.org/imrd/directdoc.asp?DDFDocuments/t/G/TBTN23/BDI334A1.DOCX")</f>
      </c>
      <c r="P1477" s="6">
        <f>HYPERLINK("https://docs.wto.org/imrd/directdoc.asp?DDFDocuments/u/G/TBTN23/BDI334A1.DOCX", "https://docs.wto.org/imrd/directdoc.asp?DDFDocuments/u/G/TBTN23/BDI334A1.DOCX")</f>
      </c>
      <c r="Q1477" s="6">
        <f>HYPERLINK("https://docs.wto.org/imrd/directdoc.asp?DDFDocuments/v/G/TBTN23/BDI334A1.DOCX", "https://docs.wto.org/imrd/directdoc.asp?DDFDocuments/v/G/TBTN23/BDI334A1.DOCX")</f>
      </c>
    </row>
    <row r="1478">
      <c r="A1478" s="6" t="s">
        <v>2041</v>
      </c>
      <c r="B1478" s="7">
        <v>45475</v>
      </c>
      <c r="C1478" s="6">
        <f>HYPERLINK("https://eping.wto.org/en/Search?viewData= G/TBT/N/BDI/335/Add.1, G/TBT/N/KEN/1397/Add.1, G/TBT/N/RWA/842/Add.1, G/TBT/N/TZA/921/Add.1, G/TBT/N/UGA/1750/Add.1"," G/TBT/N/BDI/335/Add.1, G/TBT/N/KEN/1397/Add.1, G/TBT/N/RWA/842/Add.1, G/TBT/N/TZA/921/Add.1, G/TBT/N/UGA/1750/Add.1")</f>
      </c>
      <c r="D1478" s="8" t="s">
        <v>4619</v>
      </c>
      <c r="E1478" s="8" t="s">
        <v>4620</v>
      </c>
      <c r="F1478" s="8" t="s">
        <v>4298</v>
      </c>
      <c r="G1478" s="6" t="s">
        <v>4299</v>
      </c>
      <c r="H1478" s="6" t="s">
        <v>3048</v>
      </c>
      <c r="I1478" s="6" t="s">
        <v>4556</v>
      </c>
      <c r="J1478" s="6" t="s">
        <v>3826</v>
      </c>
      <c r="K1478" s="6"/>
      <c r="L1478" s="7" t="s">
        <v>40</v>
      </c>
      <c r="M1478" s="6" t="s">
        <v>76</v>
      </c>
      <c r="N1478" s="6"/>
      <c r="O1478" s="6">
        <f>HYPERLINK("https://docs.wto.org/imrd/directdoc.asp?DDFDocuments/t/G/TBTN23/BDI335A1.DOCX", "https://docs.wto.org/imrd/directdoc.asp?DDFDocuments/t/G/TBTN23/BDI335A1.DOCX")</f>
      </c>
      <c r="P1478" s="6">
        <f>HYPERLINK("https://docs.wto.org/imrd/directdoc.asp?DDFDocuments/u/G/TBTN23/BDI335A1.DOCX", "https://docs.wto.org/imrd/directdoc.asp?DDFDocuments/u/G/TBTN23/BDI335A1.DOCX")</f>
      </c>
      <c r="Q1478" s="6">
        <f>HYPERLINK("https://docs.wto.org/imrd/directdoc.asp?DDFDocuments/v/G/TBTN23/BDI335A1.DOCX", "https://docs.wto.org/imrd/directdoc.asp?DDFDocuments/v/G/TBTN23/BDI335A1.DOCX")</f>
      </c>
    </row>
    <row r="1479">
      <c r="A1479" s="6" t="s">
        <v>344</v>
      </c>
      <c r="B1479" s="7">
        <v>45475</v>
      </c>
      <c r="C1479" s="6">
        <f>HYPERLINK("https://eping.wto.org/en/Search?viewData= G/TBT/N/ARE/614, G/TBT/N/BHR/700, G/TBT/N/KWT/680, G/TBT/N/OMN/525, G/TBT/N/QAT/676, G/TBT/N/SAU/1337, G/TBT/N/YEM/282"," G/TBT/N/ARE/614, G/TBT/N/BHR/700, G/TBT/N/KWT/680, G/TBT/N/OMN/525, G/TBT/N/QAT/676, G/TBT/N/SAU/1337, G/TBT/N/YEM/282")</f>
      </c>
      <c r="D1479" s="8" t="s">
        <v>4597</v>
      </c>
      <c r="E1479" s="8" t="s">
        <v>4598</v>
      </c>
      <c r="F1479" s="8" t="s">
        <v>35</v>
      </c>
      <c r="G1479" s="6" t="s">
        <v>44</v>
      </c>
      <c r="H1479" s="6" t="s">
        <v>37</v>
      </c>
      <c r="I1479" s="6" t="s">
        <v>259</v>
      </c>
      <c r="J1479" s="6" t="s">
        <v>24</v>
      </c>
      <c r="K1479" s="6"/>
      <c r="L1479" s="7">
        <v>45535</v>
      </c>
      <c r="M1479" s="6" t="s">
        <v>25</v>
      </c>
      <c r="N1479" s="8" t="s">
        <v>4599</v>
      </c>
      <c r="O1479" s="6">
        <f>HYPERLINK("https://docs.wto.org/imrd/directdoc.asp?DDFDocuments/t/G/TBTN24/ARE614.DOCX", "https://docs.wto.org/imrd/directdoc.asp?DDFDocuments/t/G/TBTN24/ARE614.DOCX")</f>
      </c>
      <c r="P1479" s="6">
        <f>HYPERLINK("https://docs.wto.org/imrd/directdoc.asp?DDFDocuments/u/G/TBTN24/ARE614.DOCX", "https://docs.wto.org/imrd/directdoc.asp?DDFDocuments/u/G/TBTN24/ARE614.DOCX")</f>
      </c>
      <c r="Q1479" s="6">
        <f>HYPERLINK("https://docs.wto.org/imrd/directdoc.asp?DDFDocuments/v/G/TBTN24/ARE614.DOCX", "https://docs.wto.org/imrd/directdoc.asp?DDFDocuments/v/G/TBTN24/ARE614.DOCX")</f>
      </c>
    </row>
    <row r="1480">
      <c r="A1480" s="6" t="s">
        <v>160</v>
      </c>
      <c r="B1480" s="7">
        <v>45475</v>
      </c>
      <c r="C1480" s="6">
        <f>HYPERLINK("https://eping.wto.org/en/Search?viewData= G/TBT/N/USA/2129"," G/TBT/N/USA/2129")</f>
      </c>
      <c r="D1480" s="8" t="s">
        <v>4653</v>
      </c>
      <c r="E1480" s="8" t="s">
        <v>4654</v>
      </c>
      <c r="F1480" s="8" t="s">
        <v>4655</v>
      </c>
      <c r="G1480" s="6" t="s">
        <v>40</v>
      </c>
      <c r="H1480" s="6" t="s">
        <v>4656</v>
      </c>
      <c r="I1480" s="6" t="s">
        <v>4657</v>
      </c>
      <c r="J1480" s="6" t="s">
        <v>40</v>
      </c>
      <c r="K1480" s="6"/>
      <c r="L1480" s="7">
        <v>45523</v>
      </c>
      <c r="M1480" s="6" t="s">
        <v>25</v>
      </c>
      <c r="N1480" s="8" t="s">
        <v>4658</v>
      </c>
      <c r="O1480" s="6">
        <f>HYPERLINK("https://docs.wto.org/imrd/directdoc.asp?DDFDocuments/t/G/TBTN24/USA2129.DOCX", "https://docs.wto.org/imrd/directdoc.asp?DDFDocuments/t/G/TBTN24/USA2129.DOCX")</f>
      </c>
      <c r="P1480" s="6">
        <f>HYPERLINK("https://docs.wto.org/imrd/directdoc.asp?DDFDocuments/u/G/TBTN24/USA2129.DOCX", "https://docs.wto.org/imrd/directdoc.asp?DDFDocuments/u/G/TBTN24/USA2129.DOCX")</f>
      </c>
      <c r="Q1480" s="6">
        <f>HYPERLINK("https://docs.wto.org/imrd/directdoc.asp?DDFDocuments/v/G/TBTN24/USA2129.DOCX", "https://docs.wto.org/imrd/directdoc.asp?DDFDocuments/v/G/TBTN24/USA2129.DOCX")</f>
      </c>
    </row>
    <row r="1481">
      <c r="A1481" s="6" t="s">
        <v>880</v>
      </c>
      <c r="B1481" s="7">
        <v>45475</v>
      </c>
      <c r="C1481" s="6">
        <f>HYPERLINK("https://eping.wto.org/en/Search?viewData= G/TBT/N/BDI/334/Add.1, G/TBT/N/KEN/1396/Add.1, G/TBT/N/RWA/841/Add.1, G/TBT/N/TZA/920/Add.1, G/TBT/N/UGA/1749/Add.1"," G/TBT/N/BDI/334/Add.1, G/TBT/N/KEN/1396/Add.1, G/TBT/N/RWA/841/Add.1, G/TBT/N/TZA/920/Add.1, G/TBT/N/UGA/1749/Add.1")</f>
      </c>
      <c r="D1481" s="8" t="s">
        <v>4320</v>
      </c>
      <c r="E1481" s="8" t="s">
        <v>4632</v>
      </c>
      <c r="F1481" s="8" t="s">
        <v>4298</v>
      </c>
      <c r="G1481" s="6" t="s">
        <v>4299</v>
      </c>
      <c r="H1481" s="6" t="s">
        <v>3048</v>
      </c>
      <c r="I1481" s="6" t="s">
        <v>4556</v>
      </c>
      <c r="J1481" s="6" t="s">
        <v>3826</v>
      </c>
      <c r="K1481" s="6"/>
      <c r="L1481" s="7" t="s">
        <v>40</v>
      </c>
      <c r="M1481" s="6" t="s">
        <v>76</v>
      </c>
      <c r="N1481" s="6"/>
      <c r="O1481" s="6">
        <f>HYPERLINK("https://docs.wto.org/imrd/directdoc.asp?DDFDocuments/t/G/TBTN23/BDI334A1.DOCX", "https://docs.wto.org/imrd/directdoc.asp?DDFDocuments/t/G/TBTN23/BDI334A1.DOCX")</f>
      </c>
      <c r="P1481" s="6">
        <f>HYPERLINK("https://docs.wto.org/imrd/directdoc.asp?DDFDocuments/u/G/TBTN23/BDI334A1.DOCX", "https://docs.wto.org/imrd/directdoc.asp?DDFDocuments/u/G/TBTN23/BDI334A1.DOCX")</f>
      </c>
      <c r="Q1481" s="6">
        <f>HYPERLINK("https://docs.wto.org/imrd/directdoc.asp?DDFDocuments/v/G/TBTN23/BDI334A1.DOCX", "https://docs.wto.org/imrd/directdoc.asp?DDFDocuments/v/G/TBTN23/BDI334A1.DOCX")</f>
      </c>
    </row>
    <row r="1482">
      <c r="A1482" s="6" t="s">
        <v>2024</v>
      </c>
      <c r="B1482" s="7">
        <v>45475</v>
      </c>
      <c r="C1482" s="6">
        <f>HYPERLINK("https://eping.wto.org/en/Search?viewData= G/TBT/N/BDI/336/Add.1, G/TBT/N/KEN/1398/Add.1, G/TBT/N/RWA/843/Add.1, G/TBT/N/TZA/922/Add.1, G/TBT/N/UGA/1751/Add.1"," G/TBT/N/BDI/336/Add.1, G/TBT/N/KEN/1398/Add.1, G/TBT/N/RWA/843/Add.1, G/TBT/N/TZA/922/Add.1, G/TBT/N/UGA/1751/Add.1")</f>
      </c>
      <c r="D1482" s="8" t="s">
        <v>4301</v>
      </c>
      <c r="E1482" s="8" t="s">
        <v>4600</v>
      </c>
      <c r="F1482" s="8" t="s">
        <v>4298</v>
      </c>
      <c r="G1482" s="6" t="s">
        <v>4299</v>
      </c>
      <c r="H1482" s="6" t="s">
        <v>3048</v>
      </c>
      <c r="I1482" s="6" t="s">
        <v>4610</v>
      </c>
      <c r="J1482" s="6" t="s">
        <v>3826</v>
      </c>
      <c r="K1482" s="6"/>
      <c r="L1482" s="7" t="s">
        <v>40</v>
      </c>
      <c r="M1482" s="6" t="s">
        <v>76</v>
      </c>
      <c r="N1482" s="6"/>
      <c r="O1482" s="6">
        <f>HYPERLINK("https://docs.wto.org/imrd/directdoc.asp?DDFDocuments/t/G/TBTN23/BDI336A1.DOCX", "https://docs.wto.org/imrd/directdoc.asp?DDFDocuments/t/G/TBTN23/BDI336A1.DOCX")</f>
      </c>
      <c r="P1482" s="6">
        <f>HYPERLINK("https://docs.wto.org/imrd/directdoc.asp?DDFDocuments/u/G/TBTN23/BDI336A1.DOCX", "https://docs.wto.org/imrd/directdoc.asp?DDFDocuments/u/G/TBTN23/BDI336A1.DOCX")</f>
      </c>
      <c r="Q1482" s="6">
        <f>HYPERLINK("https://docs.wto.org/imrd/directdoc.asp?DDFDocuments/v/G/TBTN23/BDI336A1.DOCX", "https://docs.wto.org/imrd/directdoc.asp?DDFDocuments/v/G/TBTN23/BDI336A1.DOCX")</f>
      </c>
    </row>
    <row r="1483">
      <c r="A1483" s="6" t="s">
        <v>880</v>
      </c>
      <c r="B1483" s="7">
        <v>45475</v>
      </c>
      <c r="C1483" s="6">
        <f>HYPERLINK("https://eping.wto.org/en/Search?viewData= G/TBT/N/BDI/336/Add.1, G/TBT/N/KEN/1398/Add.1, G/TBT/N/RWA/843/Add.1, G/TBT/N/TZA/922/Add.1, G/TBT/N/UGA/1751/Add.1"," G/TBT/N/BDI/336/Add.1, G/TBT/N/KEN/1398/Add.1, G/TBT/N/RWA/843/Add.1, G/TBT/N/TZA/922/Add.1, G/TBT/N/UGA/1751/Add.1")</f>
      </c>
      <c r="D1483" s="8" t="s">
        <v>4301</v>
      </c>
      <c r="E1483" s="8" t="s">
        <v>4600</v>
      </c>
      <c r="F1483" s="8" t="s">
        <v>4298</v>
      </c>
      <c r="G1483" s="6" t="s">
        <v>4299</v>
      </c>
      <c r="H1483" s="6" t="s">
        <v>3048</v>
      </c>
      <c r="I1483" s="6" t="s">
        <v>4610</v>
      </c>
      <c r="J1483" s="6" t="s">
        <v>3826</v>
      </c>
      <c r="K1483" s="6"/>
      <c r="L1483" s="7" t="s">
        <v>40</v>
      </c>
      <c r="M1483" s="6" t="s">
        <v>76</v>
      </c>
      <c r="N1483" s="6"/>
      <c r="O1483" s="6">
        <f>HYPERLINK("https://docs.wto.org/imrd/directdoc.asp?DDFDocuments/t/G/TBTN23/BDI336A1.DOCX", "https://docs.wto.org/imrd/directdoc.asp?DDFDocuments/t/G/TBTN23/BDI336A1.DOCX")</f>
      </c>
      <c r="P1483" s="6">
        <f>HYPERLINK("https://docs.wto.org/imrd/directdoc.asp?DDFDocuments/u/G/TBTN23/BDI336A1.DOCX", "https://docs.wto.org/imrd/directdoc.asp?DDFDocuments/u/G/TBTN23/BDI336A1.DOCX")</f>
      </c>
      <c r="Q1483" s="6">
        <f>HYPERLINK("https://docs.wto.org/imrd/directdoc.asp?DDFDocuments/v/G/TBTN23/BDI336A1.DOCX", "https://docs.wto.org/imrd/directdoc.asp?DDFDocuments/v/G/TBTN23/BDI336A1.DOCX")</f>
      </c>
    </row>
    <row r="1484">
      <c r="A1484" s="6" t="s">
        <v>2030</v>
      </c>
      <c r="B1484" s="7">
        <v>45474</v>
      </c>
      <c r="C1484" s="6">
        <f>HYPERLINK("https://eping.wto.org/en/Search?viewData= G/TBT/N/UGA/1962"," G/TBT/N/UGA/1962")</f>
      </c>
      <c r="D1484" s="8" t="s">
        <v>4659</v>
      </c>
      <c r="E1484" s="8" t="s">
        <v>4660</v>
      </c>
      <c r="F1484" s="8" t="s">
        <v>4661</v>
      </c>
      <c r="G1484" s="6" t="s">
        <v>4662</v>
      </c>
      <c r="H1484" s="6" t="s">
        <v>4663</v>
      </c>
      <c r="I1484" s="6" t="s">
        <v>134</v>
      </c>
      <c r="J1484" s="6" t="s">
        <v>40</v>
      </c>
      <c r="K1484" s="6"/>
      <c r="L1484" s="7">
        <v>45534</v>
      </c>
      <c r="M1484" s="6" t="s">
        <v>25</v>
      </c>
      <c r="N1484" s="6"/>
      <c r="O1484" s="6">
        <f>HYPERLINK("https://docs.wto.org/imrd/directdoc.asp?DDFDocuments/t/G/TBTN24/UGA1962.DOCX", "https://docs.wto.org/imrd/directdoc.asp?DDFDocuments/t/G/TBTN24/UGA1962.DOCX")</f>
      </c>
      <c r="P1484" s="6">
        <f>HYPERLINK("https://docs.wto.org/imrd/directdoc.asp?DDFDocuments/u/G/TBTN24/UGA1962.DOCX", "https://docs.wto.org/imrd/directdoc.asp?DDFDocuments/u/G/TBTN24/UGA1962.DOCX")</f>
      </c>
      <c r="Q1484" s="6">
        <f>HYPERLINK("https://docs.wto.org/imrd/directdoc.asp?DDFDocuments/v/G/TBTN24/UGA1962.DOCX", "https://docs.wto.org/imrd/directdoc.asp?DDFDocuments/v/G/TBTN24/UGA1962.DOCX")</f>
      </c>
    </row>
    <row r="1485">
      <c r="A1485" s="6" t="s">
        <v>866</v>
      </c>
      <c r="B1485" s="7">
        <v>45474</v>
      </c>
      <c r="C1485" s="6">
        <f>HYPERLINK("https://eping.wto.org/en/Search?viewData= G/TBT/N/IDN/166"," G/TBT/N/IDN/166")</f>
      </c>
      <c r="D1485" s="8" t="s">
        <v>4664</v>
      </c>
      <c r="E1485" s="8" t="s">
        <v>4665</v>
      </c>
      <c r="F1485" s="8" t="s">
        <v>4666</v>
      </c>
      <c r="G1485" s="6" t="s">
        <v>40</v>
      </c>
      <c r="H1485" s="6" t="s">
        <v>93</v>
      </c>
      <c r="I1485" s="6" t="s">
        <v>142</v>
      </c>
      <c r="J1485" s="6" t="s">
        <v>95</v>
      </c>
      <c r="K1485" s="6"/>
      <c r="L1485" s="7">
        <v>45534</v>
      </c>
      <c r="M1485" s="6" t="s">
        <v>25</v>
      </c>
      <c r="N1485" s="8" t="s">
        <v>4667</v>
      </c>
      <c r="O1485" s="6">
        <f>HYPERLINK("https://docs.wto.org/imrd/directdoc.asp?DDFDocuments/t/G/TBTN24/IND166.DOCX", "https://docs.wto.org/imrd/directdoc.asp?DDFDocuments/t/G/TBTN24/IND166.DOCX")</f>
      </c>
      <c r="P1485" s="6">
        <f>HYPERLINK("https://docs.wto.org/imrd/directdoc.asp?DDFDocuments/u/G/TBTN24/IND166.DOCX", "https://docs.wto.org/imrd/directdoc.asp?DDFDocuments/u/G/TBTN24/IND166.DOCX")</f>
      </c>
      <c r="Q1485" s="6">
        <f>HYPERLINK("https://docs.wto.org/imrd/directdoc.asp?DDFDocuments/v/G/TBTN24/IND166.DOCX", "https://docs.wto.org/imrd/directdoc.asp?DDFDocuments/v/G/TBTN24/IND166.DOCX")</f>
      </c>
    </row>
    <row r="1486">
      <c r="A1486" s="6" t="s">
        <v>198</v>
      </c>
      <c r="B1486" s="7">
        <v>45474</v>
      </c>
      <c r="C1486" s="6">
        <f>HYPERLINK("https://eping.wto.org/en/Search?viewData= G/TBT/N/CHL/638/Add.1"," G/TBT/N/CHL/638/Add.1")</f>
      </c>
      <c r="D1486" s="8" t="s">
        <v>4668</v>
      </c>
      <c r="E1486" s="8" t="s">
        <v>4669</v>
      </c>
      <c r="F1486" s="8" t="s">
        <v>4670</v>
      </c>
      <c r="G1486" s="6" t="s">
        <v>40</v>
      </c>
      <c r="H1486" s="6" t="s">
        <v>4381</v>
      </c>
      <c r="I1486" s="6" t="s">
        <v>142</v>
      </c>
      <c r="J1486" s="6" t="s">
        <v>40</v>
      </c>
      <c r="K1486" s="6"/>
      <c r="L1486" s="7" t="s">
        <v>40</v>
      </c>
      <c r="M1486" s="6" t="s">
        <v>76</v>
      </c>
      <c r="N1486" s="8" t="s">
        <v>4671</v>
      </c>
      <c r="O1486" s="6">
        <f>HYPERLINK("https://docs.wto.org/imrd/directdoc.asp?DDFDocuments/t/G/TBTN23/CHL638A1.DOCX", "https://docs.wto.org/imrd/directdoc.asp?DDFDocuments/t/G/TBTN23/CHL638A1.DOCX")</f>
      </c>
      <c r="P1486" s="6">
        <f>HYPERLINK("https://docs.wto.org/imrd/directdoc.asp?DDFDocuments/u/G/TBTN23/CHL638A1.DOCX", "https://docs.wto.org/imrd/directdoc.asp?DDFDocuments/u/G/TBTN23/CHL638A1.DOCX")</f>
      </c>
      <c r="Q1486" s="6">
        <f>HYPERLINK("https://docs.wto.org/imrd/directdoc.asp?DDFDocuments/v/G/TBTN23/CHL638A1.DOCX", "https://docs.wto.org/imrd/directdoc.asp?DDFDocuments/v/G/TBTN23/CHL638A1.DOCX")</f>
      </c>
    </row>
    <row r="1487">
      <c r="A1487" s="6" t="s">
        <v>1688</v>
      </c>
      <c r="B1487" s="7">
        <v>45474</v>
      </c>
      <c r="C1487" s="6">
        <f>HYPERLINK("https://eping.wto.org/en/Search?viewData= G/TBT/N/THA/691/Rev.1"," G/TBT/N/THA/691/Rev.1")</f>
      </c>
      <c r="D1487" s="8" t="s">
        <v>4672</v>
      </c>
      <c r="E1487" s="8" t="s">
        <v>4673</v>
      </c>
      <c r="F1487" s="8" t="s">
        <v>4674</v>
      </c>
      <c r="G1487" s="6" t="s">
        <v>40</v>
      </c>
      <c r="H1487" s="6" t="s">
        <v>4675</v>
      </c>
      <c r="I1487" s="6" t="s">
        <v>147</v>
      </c>
      <c r="J1487" s="6" t="s">
        <v>24</v>
      </c>
      <c r="K1487" s="6"/>
      <c r="L1487" s="7">
        <v>45534</v>
      </c>
      <c r="M1487" s="6" t="s">
        <v>214</v>
      </c>
      <c r="N1487" s="8" t="s">
        <v>4676</v>
      </c>
      <c r="O1487" s="6">
        <f>HYPERLINK("https://docs.wto.org/imrd/directdoc.asp?DDFDocuments/t/G/TBTN23/THA691R1.DOCX", "https://docs.wto.org/imrd/directdoc.asp?DDFDocuments/t/G/TBTN23/THA691R1.DOCX")</f>
      </c>
      <c r="P1487" s="6">
        <f>HYPERLINK("https://docs.wto.org/imrd/directdoc.asp?DDFDocuments/u/G/TBTN23/THA691R1.DOCX", "https://docs.wto.org/imrd/directdoc.asp?DDFDocuments/u/G/TBTN23/THA691R1.DOCX")</f>
      </c>
      <c r="Q1487" s="6">
        <f>HYPERLINK("https://docs.wto.org/imrd/directdoc.asp?DDFDocuments/v/G/TBTN23/THA691R1.DOCX", "https://docs.wto.org/imrd/directdoc.asp?DDFDocuments/v/G/TBTN23/THA691R1.DOCX")</f>
      </c>
    </row>
    <row r="1488">
      <c r="A1488" s="6" t="s">
        <v>419</v>
      </c>
      <c r="B1488" s="7">
        <v>45474</v>
      </c>
      <c r="C1488" s="6">
        <f>HYPERLINK("https://eping.wto.org/en/Search?viewData= G/SPS/N/JPN/1216/Add.1"," G/SPS/N/JPN/1216/Add.1")</f>
      </c>
      <c r="D1488" s="8" t="s">
        <v>4677</v>
      </c>
      <c r="E1488" s="8" t="s">
        <v>4678</v>
      </c>
      <c r="F1488" s="8" t="s">
        <v>4679</v>
      </c>
      <c r="G1488" s="6" t="s">
        <v>4680</v>
      </c>
      <c r="H1488" s="6" t="s">
        <v>40</v>
      </c>
      <c r="I1488" s="6" t="s">
        <v>38</v>
      </c>
      <c r="J1488" s="6" t="s">
        <v>1756</v>
      </c>
      <c r="K1488" s="6"/>
      <c r="L1488" s="7" t="s">
        <v>40</v>
      </c>
      <c r="M1488" s="6" t="s">
        <v>76</v>
      </c>
      <c r="N1488" s="8" t="s">
        <v>4681</v>
      </c>
      <c r="O1488" s="6">
        <f>HYPERLINK("https://docs.wto.org/imrd/directdoc.asp?DDFDocuments/t/G/SPS/NJPN1216A1.DOCX", "https://docs.wto.org/imrd/directdoc.asp?DDFDocuments/t/G/SPS/NJPN1216A1.DOCX")</f>
      </c>
      <c r="P1488" s="6">
        <f>HYPERLINK("https://docs.wto.org/imrd/directdoc.asp?DDFDocuments/u/G/SPS/NJPN1216A1.DOCX", "https://docs.wto.org/imrd/directdoc.asp?DDFDocuments/u/G/SPS/NJPN1216A1.DOCX")</f>
      </c>
      <c r="Q1488" s="6">
        <f>HYPERLINK("https://docs.wto.org/imrd/directdoc.asp?DDFDocuments/v/G/SPS/NJPN1216A1.DOCX", "https://docs.wto.org/imrd/directdoc.asp?DDFDocuments/v/G/SPS/NJPN1216A1.DOCX")</f>
      </c>
    </row>
    <row r="1489">
      <c r="A1489" s="6" t="s">
        <v>419</v>
      </c>
      <c r="B1489" s="7">
        <v>45474</v>
      </c>
      <c r="C1489" s="6">
        <f>HYPERLINK("https://eping.wto.org/en/Search?viewData= G/SPS/N/JPN/1221/Add.1"," G/SPS/N/JPN/1221/Add.1")</f>
      </c>
      <c r="D1489" s="8" t="s">
        <v>4677</v>
      </c>
      <c r="E1489" s="8" t="s">
        <v>4682</v>
      </c>
      <c r="F1489" s="8" t="s">
        <v>4683</v>
      </c>
      <c r="G1489" s="6" t="s">
        <v>4684</v>
      </c>
      <c r="H1489" s="6" t="s">
        <v>40</v>
      </c>
      <c r="I1489" s="6" t="s">
        <v>38</v>
      </c>
      <c r="J1489" s="6" t="s">
        <v>1756</v>
      </c>
      <c r="K1489" s="6"/>
      <c r="L1489" s="7" t="s">
        <v>40</v>
      </c>
      <c r="M1489" s="6" t="s">
        <v>76</v>
      </c>
      <c r="N1489" s="8" t="s">
        <v>4685</v>
      </c>
      <c r="O1489" s="6">
        <f>HYPERLINK("https://docs.wto.org/imrd/directdoc.asp?DDFDocuments/t/G/SPS/NJPN1221A1.DOCX", "https://docs.wto.org/imrd/directdoc.asp?DDFDocuments/t/G/SPS/NJPN1221A1.DOCX")</f>
      </c>
      <c r="P1489" s="6">
        <f>HYPERLINK("https://docs.wto.org/imrd/directdoc.asp?DDFDocuments/u/G/SPS/NJPN1221A1.DOCX", "https://docs.wto.org/imrd/directdoc.asp?DDFDocuments/u/G/SPS/NJPN1221A1.DOCX")</f>
      </c>
      <c r="Q1489" s="6">
        <f>HYPERLINK("https://docs.wto.org/imrd/directdoc.asp?DDFDocuments/v/G/SPS/NJPN1221A1.DOCX", "https://docs.wto.org/imrd/directdoc.asp?DDFDocuments/v/G/SPS/NJPN1221A1.DOCX")</f>
      </c>
    </row>
    <row r="1490">
      <c r="A1490" s="6" t="s">
        <v>2030</v>
      </c>
      <c r="B1490" s="7">
        <v>45474</v>
      </c>
      <c r="C1490" s="6">
        <f>HYPERLINK("https://eping.wto.org/en/Search?viewData= G/TBT/N/UGA/1960"," G/TBT/N/UGA/1960")</f>
      </c>
      <c r="D1490" s="8" t="s">
        <v>4686</v>
      </c>
      <c r="E1490" s="8" t="s">
        <v>4687</v>
      </c>
      <c r="F1490" s="8" t="s">
        <v>4661</v>
      </c>
      <c r="G1490" s="6" t="s">
        <v>4662</v>
      </c>
      <c r="H1490" s="6" t="s">
        <v>4663</v>
      </c>
      <c r="I1490" s="6" t="s">
        <v>134</v>
      </c>
      <c r="J1490" s="6" t="s">
        <v>40</v>
      </c>
      <c r="K1490" s="6"/>
      <c r="L1490" s="7">
        <v>45534</v>
      </c>
      <c r="M1490" s="6" t="s">
        <v>25</v>
      </c>
      <c r="N1490" s="6"/>
      <c r="O1490" s="6">
        <f>HYPERLINK("https://docs.wto.org/imrd/directdoc.asp?DDFDocuments/t/G/TBTN24/UGA1960.DOCX", "https://docs.wto.org/imrd/directdoc.asp?DDFDocuments/t/G/TBTN24/UGA1960.DOCX")</f>
      </c>
      <c r="P1490" s="6">
        <f>HYPERLINK("https://docs.wto.org/imrd/directdoc.asp?DDFDocuments/u/G/TBTN24/UGA1960.DOCX", "https://docs.wto.org/imrd/directdoc.asp?DDFDocuments/u/G/TBTN24/UGA1960.DOCX")</f>
      </c>
      <c r="Q1490" s="6">
        <f>HYPERLINK("https://docs.wto.org/imrd/directdoc.asp?DDFDocuments/v/G/TBTN24/UGA1960.DOCX", "https://docs.wto.org/imrd/directdoc.asp?DDFDocuments/v/G/TBTN24/UGA1960.DOCX")</f>
      </c>
    </row>
    <row r="1491">
      <c r="A1491" s="6" t="s">
        <v>419</v>
      </c>
      <c r="B1491" s="7">
        <v>45474</v>
      </c>
      <c r="C1491" s="6">
        <f>HYPERLINK("https://eping.wto.org/en/Search?viewData= G/SPS/N/JPN/1223/Add.1"," G/SPS/N/JPN/1223/Add.1")</f>
      </c>
      <c r="D1491" s="8" t="s">
        <v>4677</v>
      </c>
      <c r="E1491" s="8" t="s">
        <v>4688</v>
      </c>
      <c r="F1491" s="8" t="s">
        <v>4689</v>
      </c>
      <c r="G1491" s="6" t="s">
        <v>4690</v>
      </c>
      <c r="H1491" s="6" t="s">
        <v>40</v>
      </c>
      <c r="I1491" s="6" t="s">
        <v>38</v>
      </c>
      <c r="J1491" s="6" t="s">
        <v>1756</v>
      </c>
      <c r="K1491" s="6"/>
      <c r="L1491" s="7" t="s">
        <v>40</v>
      </c>
      <c r="M1491" s="6" t="s">
        <v>76</v>
      </c>
      <c r="N1491" s="8" t="s">
        <v>4691</v>
      </c>
      <c r="O1491" s="6">
        <f>HYPERLINK("https://docs.wto.org/imrd/directdoc.asp?DDFDocuments/t/G/SPS/NJPN1223A1.DOCX", "https://docs.wto.org/imrd/directdoc.asp?DDFDocuments/t/G/SPS/NJPN1223A1.DOCX")</f>
      </c>
      <c r="P1491" s="6">
        <f>HYPERLINK("https://docs.wto.org/imrd/directdoc.asp?DDFDocuments/u/G/SPS/NJPN1223A1.DOCX", "https://docs.wto.org/imrd/directdoc.asp?DDFDocuments/u/G/SPS/NJPN1223A1.DOCX")</f>
      </c>
      <c r="Q1491" s="6">
        <f>HYPERLINK("https://docs.wto.org/imrd/directdoc.asp?DDFDocuments/v/G/SPS/NJPN1223A1.DOCX", "https://docs.wto.org/imrd/directdoc.asp?DDFDocuments/v/G/SPS/NJPN1223A1.DOCX")</f>
      </c>
    </row>
    <row r="1492">
      <c r="A1492" s="6" t="s">
        <v>1688</v>
      </c>
      <c r="B1492" s="7">
        <v>45474</v>
      </c>
      <c r="C1492" s="6">
        <f>HYPERLINK("https://eping.wto.org/en/Search?viewData= G/TBT/N/THA/692/Rev.1"," G/TBT/N/THA/692/Rev.1")</f>
      </c>
      <c r="D1492" s="8" t="s">
        <v>4692</v>
      </c>
      <c r="E1492" s="8" t="s">
        <v>4693</v>
      </c>
      <c r="F1492" s="8" t="s">
        <v>4694</v>
      </c>
      <c r="G1492" s="6" t="s">
        <v>40</v>
      </c>
      <c r="H1492" s="6" t="s">
        <v>4695</v>
      </c>
      <c r="I1492" s="6" t="s">
        <v>147</v>
      </c>
      <c r="J1492" s="6" t="s">
        <v>40</v>
      </c>
      <c r="K1492" s="6"/>
      <c r="L1492" s="7">
        <v>45534</v>
      </c>
      <c r="M1492" s="6" t="s">
        <v>214</v>
      </c>
      <c r="N1492" s="8" t="s">
        <v>4696</v>
      </c>
      <c r="O1492" s="6">
        <f>HYPERLINK("https://docs.wto.org/imrd/directdoc.asp?DDFDocuments/t/G/TBTN23/THA692R1.DOCX", "https://docs.wto.org/imrd/directdoc.asp?DDFDocuments/t/G/TBTN23/THA692R1.DOCX")</f>
      </c>
      <c r="P1492" s="6">
        <f>HYPERLINK("https://docs.wto.org/imrd/directdoc.asp?DDFDocuments/u/G/TBTN23/THA692R1.DOCX", "https://docs.wto.org/imrd/directdoc.asp?DDFDocuments/u/G/TBTN23/THA692R1.DOCX")</f>
      </c>
      <c r="Q1492" s="6">
        <f>HYPERLINK("https://docs.wto.org/imrd/directdoc.asp?DDFDocuments/v/G/TBTN23/THA692R1.DOCX", "https://docs.wto.org/imrd/directdoc.asp?DDFDocuments/v/G/TBTN23/THA692R1.DOCX")</f>
      </c>
    </row>
    <row r="1493">
      <c r="A1493" s="6" t="s">
        <v>419</v>
      </c>
      <c r="B1493" s="7">
        <v>45474</v>
      </c>
      <c r="C1493" s="6">
        <f>HYPERLINK("https://eping.wto.org/en/Search?viewData= G/SPS/N/JPN/1219/Add.1"," G/SPS/N/JPN/1219/Add.1")</f>
      </c>
      <c r="D1493" s="8" t="s">
        <v>4677</v>
      </c>
      <c r="E1493" s="8" t="s">
        <v>4697</v>
      </c>
      <c r="F1493" s="8" t="s">
        <v>4698</v>
      </c>
      <c r="G1493" s="6" t="s">
        <v>4699</v>
      </c>
      <c r="H1493" s="6" t="s">
        <v>40</v>
      </c>
      <c r="I1493" s="6" t="s">
        <v>38</v>
      </c>
      <c r="J1493" s="6" t="s">
        <v>2610</v>
      </c>
      <c r="K1493" s="6"/>
      <c r="L1493" s="7" t="s">
        <v>40</v>
      </c>
      <c r="M1493" s="6" t="s">
        <v>76</v>
      </c>
      <c r="N1493" s="8" t="s">
        <v>4700</v>
      </c>
      <c r="O1493" s="6">
        <f>HYPERLINK("https://docs.wto.org/imrd/directdoc.asp?DDFDocuments/t/G/SPS/NJPN1219A1.DOCX", "https://docs.wto.org/imrd/directdoc.asp?DDFDocuments/t/G/SPS/NJPN1219A1.DOCX")</f>
      </c>
      <c r="P1493" s="6">
        <f>HYPERLINK("https://docs.wto.org/imrd/directdoc.asp?DDFDocuments/u/G/SPS/NJPN1219A1.DOCX", "https://docs.wto.org/imrd/directdoc.asp?DDFDocuments/u/G/SPS/NJPN1219A1.DOCX")</f>
      </c>
      <c r="Q1493" s="6">
        <f>HYPERLINK("https://docs.wto.org/imrd/directdoc.asp?DDFDocuments/v/G/SPS/NJPN1219A1.DOCX", "https://docs.wto.org/imrd/directdoc.asp?DDFDocuments/v/G/SPS/NJPN1219A1.DOCX")</f>
      </c>
    </row>
    <row r="1494">
      <c r="A1494" s="6" t="s">
        <v>419</v>
      </c>
      <c r="B1494" s="7">
        <v>45474</v>
      </c>
      <c r="C1494" s="6">
        <f>HYPERLINK("https://eping.wto.org/en/Search?viewData= G/TBT/N/JPN/797/Add.1"," G/TBT/N/JPN/797/Add.1")</f>
      </c>
      <c r="D1494" s="8" t="s">
        <v>4701</v>
      </c>
      <c r="E1494" s="8" t="s">
        <v>4702</v>
      </c>
      <c r="F1494" s="8" t="s">
        <v>4703</v>
      </c>
      <c r="G1494" s="6" t="s">
        <v>158</v>
      </c>
      <c r="H1494" s="6" t="s">
        <v>4704</v>
      </c>
      <c r="I1494" s="6" t="s">
        <v>142</v>
      </c>
      <c r="J1494" s="6" t="s">
        <v>4438</v>
      </c>
      <c r="K1494" s="6"/>
      <c r="L1494" s="7" t="s">
        <v>40</v>
      </c>
      <c r="M1494" s="6" t="s">
        <v>76</v>
      </c>
      <c r="N1494" s="8" t="s">
        <v>4705</v>
      </c>
      <c r="O1494" s="6">
        <f>HYPERLINK("https://docs.wto.org/imrd/directdoc.asp?DDFDocuments/t/G/TBTN24/JPN797A1.DOCX", "https://docs.wto.org/imrd/directdoc.asp?DDFDocuments/t/G/TBTN24/JPN797A1.DOCX")</f>
      </c>
      <c r="P1494" s="6">
        <f>HYPERLINK("https://docs.wto.org/imrd/directdoc.asp?DDFDocuments/u/G/TBTN24/JPN797A1.DOCX", "https://docs.wto.org/imrd/directdoc.asp?DDFDocuments/u/G/TBTN24/JPN797A1.DOCX")</f>
      </c>
      <c r="Q1494" s="6">
        <f>HYPERLINK("https://docs.wto.org/imrd/directdoc.asp?DDFDocuments/v/G/TBTN24/JPN797A1.DOCX", "https://docs.wto.org/imrd/directdoc.asp?DDFDocuments/v/G/TBTN24/JPN797A1.DOCX")</f>
      </c>
    </row>
    <row r="1495">
      <c r="A1495" s="6" t="s">
        <v>373</v>
      </c>
      <c r="B1495" s="7">
        <v>45474</v>
      </c>
      <c r="C1495" s="6">
        <f>HYPERLINK("https://eping.wto.org/en/Search?viewData= G/TBT/N/ISR/1347/Corr.1"," G/TBT/N/ISR/1347/Corr.1")</f>
      </c>
      <c r="D1495" s="8" t="s">
        <v>4706</v>
      </c>
      <c r="E1495" s="8" t="s">
        <v>4707</v>
      </c>
      <c r="F1495" s="8" t="s">
        <v>4708</v>
      </c>
      <c r="G1495" s="6" t="s">
        <v>4709</v>
      </c>
      <c r="H1495" s="6" t="s">
        <v>4710</v>
      </c>
      <c r="I1495" s="6" t="s">
        <v>4711</v>
      </c>
      <c r="J1495" s="6" t="s">
        <v>40</v>
      </c>
      <c r="K1495" s="6"/>
      <c r="L1495" s="7" t="s">
        <v>40</v>
      </c>
      <c r="M1495" s="6" t="s">
        <v>224</v>
      </c>
      <c r="N1495" s="6"/>
      <c r="O1495" s="6">
        <f>HYPERLINK("https://docs.wto.org/imrd/directdoc.asp?DDFDocuments/t/G/TBTN24/ISR1347C1.DOCX", "https://docs.wto.org/imrd/directdoc.asp?DDFDocuments/t/G/TBTN24/ISR1347C1.DOCX")</f>
      </c>
      <c r="P1495" s="6">
        <f>HYPERLINK("https://docs.wto.org/imrd/directdoc.asp?DDFDocuments/u/G/TBTN24/ISR1347C1.DOCX", "https://docs.wto.org/imrd/directdoc.asp?DDFDocuments/u/G/TBTN24/ISR1347C1.DOCX")</f>
      </c>
      <c r="Q1495" s="6">
        <f>HYPERLINK("https://docs.wto.org/imrd/directdoc.asp?DDFDocuments/v/G/TBTN24/ISR1347C1.DOCX", "https://docs.wto.org/imrd/directdoc.asp?DDFDocuments/v/G/TBTN24/ISR1347C1.DOCX")</f>
      </c>
    </row>
    <row r="1496">
      <c r="A1496" s="6" t="s">
        <v>419</v>
      </c>
      <c r="B1496" s="7">
        <v>45474</v>
      </c>
      <c r="C1496" s="6">
        <f>HYPERLINK("https://eping.wto.org/en/Search?viewData= G/SPS/N/JPN/1215/Add.1"," G/SPS/N/JPN/1215/Add.1")</f>
      </c>
      <c r="D1496" s="8" t="s">
        <v>4677</v>
      </c>
      <c r="E1496" s="8" t="s">
        <v>4712</v>
      </c>
      <c r="F1496" s="8" t="s">
        <v>4713</v>
      </c>
      <c r="G1496" s="6" t="s">
        <v>4714</v>
      </c>
      <c r="H1496" s="6" t="s">
        <v>40</v>
      </c>
      <c r="I1496" s="6" t="s">
        <v>38</v>
      </c>
      <c r="J1496" s="6" t="s">
        <v>1756</v>
      </c>
      <c r="K1496" s="6"/>
      <c r="L1496" s="7" t="s">
        <v>40</v>
      </c>
      <c r="M1496" s="6" t="s">
        <v>76</v>
      </c>
      <c r="N1496" s="8" t="s">
        <v>4715</v>
      </c>
      <c r="O1496" s="6">
        <f>HYPERLINK("https://docs.wto.org/imrd/directdoc.asp?DDFDocuments/t/G/SPS/NJPN1215A1.DOCX", "https://docs.wto.org/imrd/directdoc.asp?DDFDocuments/t/G/SPS/NJPN1215A1.DOCX")</f>
      </c>
      <c r="P1496" s="6">
        <f>HYPERLINK("https://docs.wto.org/imrd/directdoc.asp?DDFDocuments/u/G/SPS/NJPN1215A1.DOCX", "https://docs.wto.org/imrd/directdoc.asp?DDFDocuments/u/G/SPS/NJPN1215A1.DOCX")</f>
      </c>
      <c r="Q1496" s="6">
        <f>HYPERLINK("https://docs.wto.org/imrd/directdoc.asp?DDFDocuments/v/G/SPS/NJPN1215A1.DOCX", "https://docs.wto.org/imrd/directdoc.asp?DDFDocuments/v/G/SPS/NJPN1215A1.DOCX")</f>
      </c>
    </row>
    <row r="1497">
      <c r="A1497" s="6" t="s">
        <v>89</v>
      </c>
      <c r="B1497" s="7">
        <v>45474</v>
      </c>
      <c r="C1497" s="6">
        <f>HYPERLINK("https://eping.wto.org/en/Search?viewData= G/TBT/N/ECU/544"," G/TBT/N/ECU/544")</f>
      </c>
      <c r="D1497" s="8" t="s">
        <v>4716</v>
      </c>
      <c r="E1497" s="8" t="s">
        <v>4717</v>
      </c>
      <c r="F1497" s="8" t="s">
        <v>4718</v>
      </c>
      <c r="G1497" s="6" t="s">
        <v>4719</v>
      </c>
      <c r="H1497" s="6" t="s">
        <v>1706</v>
      </c>
      <c r="I1497" s="6" t="s">
        <v>94</v>
      </c>
      <c r="J1497" s="6" t="s">
        <v>40</v>
      </c>
      <c r="K1497" s="6"/>
      <c r="L1497" s="7">
        <v>45534</v>
      </c>
      <c r="M1497" s="6" t="s">
        <v>25</v>
      </c>
      <c r="N1497" s="8" t="s">
        <v>4720</v>
      </c>
      <c r="O1497" s="6">
        <f>HYPERLINK("https://docs.wto.org/imrd/directdoc.asp?DDFDocuments/t/G/TBTN24/ECU544.DOCX", "https://docs.wto.org/imrd/directdoc.asp?DDFDocuments/t/G/TBTN24/ECU544.DOCX")</f>
      </c>
      <c r="P1497" s="6">
        <f>HYPERLINK("https://docs.wto.org/imrd/directdoc.asp?DDFDocuments/u/G/TBTN24/ECU544.DOCX", "https://docs.wto.org/imrd/directdoc.asp?DDFDocuments/u/G/TBTN24/ECU544.DOCX")</f>
      </c>
      <c r="Q1497" s="6">
        <f>HYPERLINK("https://docs.wto.org/imrd/directdoc.asp?DDFDocuments/v/G/TBTN24/ECU544.DOCX", "https://docs.wto.org/imrd/directdoc.asp?DDFDocuments/v/G/TBTN24/ECU544.DOCX")</f>
      </c>
    </row>
    <row r="1498">
      <c r="A1498" s="6" t="s">
        <v>1688</v>
      </c>
      <c r="B1498" s="7">
        <v>45474</v>
      </c>
      <c r="C1498" s="6">
        <f>HYPERLINK("https://eping.wto.org/en/Search?viewData= G/SPS/N/THA/743"," G/SPS/N/THA/743")</f>
      </c>
      <c r="D1498" s="8" t="s">
        <v>4721</v>
      </c>
      <c r="E1498" s="8" t="s">
        <v>4722</v>
      </c>
      <c r="F1498" s="8" t="s">
        <v>2764</v>
      </c>
      <c r="G1498" s="6" t="s">
        <v>834</v>
      </c>
      <c r="H1498" s="6" t="s">
        <v>40</v>
      </c>
      <c r="I1498" s="6" t="s">
        <v>353</v>
      </c>
      <c r="J1498" s="6" t="s">
        <v>4723</v>
      </c>
      <c r="K1498" s="6" t="s">
        <v>401</v>
      </c>
      <c r="L1498" s="7" t="s">
        <v>40</v>
      </c>
      <c r="M1498" s="6" t="s">
        <v>356</v>
      </c>
      <c r="N1498" s="8" t="s">
        <v>4724</v>
      </c>
      <c r="O1498" s="6">
        <f>HYPERLINK("https://docs.wto.org/imrd/directdoc.asp?DDFDocuments/t/G/SPS/NTHA743.DOCX", "https://docs.wto.org/imrd/directdoc.asp?DDFDocuments/t/G/SPS/NTHA743.DOCX")</f>
      </c>
      <c r="P1498" s="6">
        <f>HYPERLINK("https://docs.wto.org/imrd/directdoc.asp?DDFDocuments/u/G/SPS/NTHA743.DOCX", "https://docs.wto.org/imrd/directdoc.asp?DDFDocuments/u/G/SPS/NTHA743.DOCX")</f>
      </c>
      <c r="Q1498" s="6">
        <f>HYPERLINK("https://docs.wto.org/imrd/directdoc.asp?DDFDocuments/v/G/SPS/NTHA743.DOCX", "https://docs.wto.org/imrd/directdoc.asp?DDFDocuments/v/G/SPS/NTHA743.DOCX")</f>
      </c>
    </row>
    <row r="1499">
      <c r="A1499" s="6" t="s">
        <v>160</v>
      </c>
      <c r="B1499" s="7">
        <v>45474</v>
      </c>
      <c r="C1499" s="6">
        <f>HYPERLINK("https://eping.wto.org/en/Search?viewData= G/SPS/N/USA/3460"," G/SPS/N/USA/3460")</f>
      </c>
      <c r="D1499" s="8" t="s">
        <v>4725</v>
      </c>
      <c r="E1499" s="8" t="s">
        <v>4726</v>
      </c>
      <c r="F1499" s="8" t="s">
        <v>4727</v>
      </c>
      <c r="G1499" s="6" t="s">
        <v>4728</v>
      </c>
      <c r="H1499" s="6" t="s">
        <v>40</v>
      </c>
      <c r="I1499" s="6" t="s">
        <v>38</v>
      </c>
      <c r="J1499" s="6" t="s">
        <v>60</v>
      </c>
      <c r="K1499" s="6"/>
      <c r="L1499" s="7" t="s">
        <v>40</v>
      </c>
      <c r="M1499" s="6" t="s">
        <v>25</v>
      </c>
      <c r="N1499" s="8" t="s">
        <v>4729</v>
      </c>
      <c r="O1499" s="6">
        <f>HYPERLINK("https://docs.wto.org/imrd/directdoc.asp?DDFDocuments/t/G/SPS/NUSA3460.DOCX", "https://docs.wto.org/imrd/directdoc.asp?DDFDocuments/t/G/SPS/NUSA3460.DOCX")</f>
      </c>
      <c r="P1499" s="6">
        <f>HYPERLINK("https://docs.wto.org/imrd/directdoc.asp?DDFDocuments/u/G/SPS/NUSA3460.DOCX", "https://docs.wto.org/imrd/directdoc.asp?DDFDocuments/u/G/SPS/NUSA3460.DOCX")</f>
      </c>
      <c r="Q1499" s="6">
        <f>HYPERLINK("https://docs.wto.org/imrd/directdoc.asp?DDFDocuments/v/G/SPS/NUSA3460.DOCX", "https://docs.wto.org/imrd/directdoc.asp?DDFDocuments/v/G/SPS/NUSA3460.DOCX")</f>
      </c>
    </row>
    <row r="1500">
      <c r="A1500" s="6" t="s">
        <v>419</v>
      </c>
      <c r="B1500" s="7">
        <v>45474</v>
      </c>
      <c r="C1500" s="6">
        <f>HYPERLINK("https://eping.wto.org/en/Search?viewData= G/SPS/N/JPN/1220/Add.1"," G/SPS/N/JPN/1220/Add.1")</f>
      </c>
      <c r="D1500" s="8" t="s">
        <v>4677</v>
      </c>
      <c r="E1500" s="8" t="s">
        <v>4730</v>
      </c>
      <c r="F1500" s="8" t="s">
        <v>744</v>
      </c>
      <c r="G1500" s="6" t="s">
        <v>40</v>
      </c>
      <c r="H1500" s="6" t="s">
        <v>40</v>
      </c>
      <c r="I1500" s="6" t="s">
        <v>38</v>
      </c>
      <c r="J1500" s="6" t="s">
        <v>2610</v>
      </c>
      <c r="K1500" s="6"/>
      <c r="L1500" s="7" t="s">
        <v>40</v>
      </c>
      <c r="M1500" s="6" t="s">
        <v>76</v>
      </c>
      <c r="N1500" s="8" t="s">
        <v>4731</v>
      </c>
      <c r="O1500" s="6">
        <f>HYPERLINK("https://docs.wto.org/imrd/directdoc.asp?DDFDocuments/t/G/SPS/NJPN1220A1.DOCX", "https://docs.wto.org/imrd/directdoc.asp?DDFDocuments/t/G/SPS/NJPN1220A1.DOCX")</f>
      </c>
      <c r="P1500" s="6">
        <f>HYPERLINK("https://docs.wto.org/imrd/directdoc.asp?DDFDocuments/u/G/SPS/NJPN1220A1.DOCX", "https://docs.wto.org/imrd/directdoc.asp?DDFDocuments/u/G/SPS/NJPN1220A1.DOCX")</f>
      </c>
      <c r="Q1500" s="6">
        <f>HYPERLINK("https://docs.wto.org/imrd/directdoc.asp?DDFDocuments/v/G/SPS/NJPN1220A1.DOCX", "https://docs.wto.org/imrd/directdoc.asp?DDFDocuments/v/G/SPS/NJPN1220A1.DOCX")</f>
      </c>
    </row>
    <row r="1501">
      <c r="A1501" s="6" t="s">
        <v>419</v>
      </c>
      <c r="B1501" s="7">
        <v>45474</v>
      </c>
      <c r="C1501" s="6">
        <f>HYPERLINK("https://eping.wto.org/en/Search?viewData= G/SPS/N/JPN/1224/Add.1"," G/SPS/N/JPN/1224/Add.1")</f>
      </c>
      <c r="D1501" s="8" t="s">
        <v>4677</v>
      </c>
      <c r="E1501" s="8" t="s">
        <v>4732</v>
      </c>
      <c r="F1501" s="8" t="s">
        <v>4733</v>
      </c>
      <c r="G1501" s="6" t="s">
        <v>4734</v>
      </c>
      <c r="H1501" s="6" t="s">
        <v>40</v>
      </c>
      <c r="I1501" s="6" t="s">
        <v>38</v>
      </c>
      <c r="J1501" s="6" t="s">
        <v>2610</v>
      </c>
      <c r="K1501" s="6"/>
      <c r="L1501" s="7" t="s">
        <v>40</v>
      </c>
      <c r="M1501" s="6" t="s">
        <v>76</v>
      </c>
      <c r="N1501" s="8" t="s">
        <v>4735</v>
      </c>
      <c r="O1501" s="6">
        <f>HYPERLINK("https://docs.wto.org/imrd/directdoc.asp?DDFDocuments/t/G/SPS/NJPN1224A1.DOCX", "https://docs.wto.org/imrd/directdoc.asp?DDFDocuments/t/G/SPS/NJPN1224A1.DOCX")</f>
      </c>
      <c r="P1501" s="6">
        <f>HYPERLINK("https://docs.wto.org/imrd/directdoc.asp?DDFDocuments/u/G/SPS/NJPN1224A1.DOCX", "https://docs.wto.org/imrd/directdoc.asp?DDFDocuments/u/G/SPS/NJPN1224A1.DOCX")</f>
      </c>
      <c r="Q1501" s="6">
        <f>HYPERLINK("https://docs.wto.org/imrd/directdoc.asp?DDFDocuments/v/G/SPS/NJPN1224A1.DOCX", "https://docs.wto.org/imrd/directdoc.asp?DDFDocuments/v/G/SPS/NJPN1224A1.DOCX")</f>
      </c>
    </row>
    <row r="1502">
      <c r="A1502" s="6" t="s">
        <v>2030</v>
      </c>
      <c r="B1502" s="7">
        <v>45474</v>
      </c>
      <c r="C1502" s="6">
        <f>HYPERLINK("https://eping.wto.org/en/Search?viewData= G/TBT/N/UGA/1958"," G/TBT/N/UGA/1958")</f>
      </c>
      <c r="D1502" s="8" t="s">
        <v>4736</v>
      </c>
      <c r="E1502" s="8" t="s">
        <v>4737</v>
      </c>
      <c r="F1502" s="8" t="s">
        <v>4661</v>
      </c>
      <c r="G1502" s="6" t="s">
        <v>4662</v>
      </c>
      <c r="H1502" s="6" t="s">
        <v>4663</v>
      </c>
      <c r="I1502" s="6" t="s">
        <v>134</v>
      </c>
      <c r="J1502" s="6" t="s">
        <v>40</v>
      </c>
      <c r="K1502" s="6"/>
      <c r="L1502" s="7">
        <v>45534</v>
      </c>
      <c r="M1502" s="6" t="s">
        <v>25</v>
      </c>
      <c r="N1502" s="6"/>
      <c r="O1502" s="6">
        <f>HYPERLINK("https://docs.wto.org/imrd/directdoc.asp?DDFDocuments/t/G/TBTN24/UGA1958.DOCX", "https://docs.wto.org/imrd/directdoc.asp?DDFDocuments/t/G/TBTN24/UGA1958.DOCX")</f>
      </c>
      <c r="P1502" s="6">
        <f>HYPERLINK("https://docs.wto.org/imrd/directdoc.asp?DDFDocuments/u/G/TBTN24/UGA1958.DOCX", "https://docs.wto.org/imrd/directdoc.asp?DDFDocuments/u/G/TBTN24/UGA1958.DOCX")</f>
      </c>
      <c r="Q1502" s="6">
        <f>HYPERLINK("https://docs.wto.org/imrd/directdoc.asp?DDFDocuments/v/G/TBTN24/UGA1958.DOCX", "https://docs.wto.org/imrd/directdoc.asp?DDFDocuments/v/G/TBTN24/UGA1958.DOCX")</f>
      </c>
    </row>
    <row r="1503">
      <c r="A1503" s="6" t="s">
        <v>1688</v>
      </c>
      <c r="B1503" s="7">
        <v>45474</v>
      </c>
      <c r="C1503" s="6">
        <f>HYPERLINK("https://eping.wto.org/en/Search?viewData= G/SPS/N/THA/744"," G/SPS/N/THA/744")</f>
      </c>
      <c r="D1503" s="8" t="s">
        <v>4738</v>
      </c>
      <c r="E1503" s="8" t="s">
        <v>4739</v>
      </c>
      <c r="F1503" s="8" t="s">
        <v>2764</v>
      </c>
      <c r="G1503" s="6" t="s">
        <v>834</v>
      </c>
      <c r="H1503" s="6" t="s">
        <v>40</v>
      </c>
      <c r="I1503" s="6" t="s">
        <v>353</v>
      </c>
      <c r="J1503" s="6" t="s">
        <v>4723</v>
      </c>
      <c r="K1503" s="6" t="s">
        <v>99</v>
      </c>
      <c r="L1503" s="7" t="s">
        <v>40</v>
      </c>
      <c r="M1503" s="6" t="s">
        <v>356</v>
      </c>
      <c r="N1503" s="8" t="s">
        <v>4740</v>
      </c>
      <c r="O1503" s="6">
        <f>HYPERLINK("https://docs.wto.org/imrd/directdoc.asp?DDFDocuments/t/G/SPS/NTHA744.DOCX", "https://docs.wto.org/imrd/directdoc.asp?DDFDocuments/t/G/SPS/NTHA744.DOCX")</f>
      </c>
      <c r="P1503" s="6">
        <f>HYPERLINK("https://docs.wto.org/imrd/directdoc.asp?DDFDocuments/u/G/SPS/NTHA744.DOCX", "https://docs.wto.org/imrd/directdoc.asp?DDFDocuments/u/G/SPS/NTHA744.DOCX")</f>
      </c>
      <c r="Q1503" s="6">
        <f>HYPERLINK("https://docs.wto.org/imrd/directdoc.asp?DDFDocuments/v/G/SPS/NTHA744.DOCX", "https://docs.wto.org/imrd/directdoc.asp?DDFDocuments/v/G/SPS/NTHA744.DOCX")</f>
      </c>
    </row>
    <row r="1504">
      <c r="A1504" s="6" t="s">
        <v>160</v>
      </c>
      <c r="B1504" s="7">
        <v>45474</v>
      </c>
      <c r="C1504" s="6">
        <f>HYPERLINK("https://eping.wto.org/en/Search?viewData= G/TBT/N/USA/1576/Add.1/Corr.2"," G/TBT/N/USA/1576/Add.1/Corr.2")</f>
      </c>
      <c r="D1504" s="8" t="s">
        <v>4741</v>
      </c>
      <c r="E1504" s="8" t="s">
        <v>4742</v>
      </c>
      <c r="F1504" s="8" t="s">
        <v>4743</v>
      </c>
      <c r="G1504" s="6" t="s">
        <v>40</v>
      </c>
      <c r="H1504" s="6" t="s">
        <v>4744</v>
      </c>
      <c r="I1504" s="6" t="s">
        <v>926</v>
      </c>
      <c r="J1504" s="6" t="s">
        <v>40</v>
      </c>
      <c r="K1504" s="6"/>
      <c r="L1504" s="7" t="s">
        <v>40</v>
      </c>
      <c r="M1504" s="6" t="s">
        <v>224</v>
      </c>
      <c r="N1504" s="8" t="s">
        <v>4745</v>
      </c>
      <c r="O1504" s="6">
        <f>HYPERLINK("https://docs.wto.org/imrd/directdoc.asp?DDFDocuments/t/G/TBTN20/USA1576A1C2.DOCX", "https://docs.wto.org/imrd/directdoc.asp?DDFDocuments/t/G/TBTN20/USA1576A1C2.DOCX")</f>
      </c>
      <c r="P1504" s="6">
        <f>HYPERLINK("https://docs.wto.org/imrd/directdoc.asp?DDFDocuments/u/G/TBTN20/USA1576A1C2.DOCX", "https://docs.wto.org/imrd/directdoc.asp?DDFDocuments/u/G/TBTN20/USA1576A1C2.DOCX")</f>
      </c>
      <c r="Q1504" s="6">
        <f>HYPERLINK("https://docs.wto.org/imrd/directdoc.asp?DDFDocuments/v/G/TBTN20/USA1576A1C2.DOCX", "https://docs.wto.org/imrd/directdoc.asp?DDFDocuments/v/G/TBTN20/USA1576A1C2.DOCX")</f>
      </c>
    </row>
    <row r="1505">
      <c r="A1505" s="6" t="s">
        <v>307</v>
      </c>
      <c r="B1505" s="7">
        <v>45474</v>
      </c>
      <c r="C1505" s="6">
        <f>HYPERLINK("https://eping.wto.org/en/Search?viewData= G/SPS/N/CAN/1560"," G/SPS/N/CAN/1560")</f>
      </c>
      <c r="D1505" s="8" t="s">
        <v>4746</v>
      </c>
      <c r="E1505" s="8" t="s">
        <v>4747</v>
      </c>
      <c r="F1505" s="8" t="s">
        <v>4748</v>
      </c>
      <c r="G1505" s="6" t="s">
        <v>40</v>
      </c>
      <c r="H1505" s="6" t="s">
        <v>4749</v>
      </c>
      <c r="I1505" s="6" t="s">
        <v>38</v>
      </c>
      <c r="J1505" s="6" t="s">
        <v>641</v>
      </c>
      <c r="K1505" s="6" t="s">
        <v>40</v>
      </c>
      <c r="L1505" s="7">
        <v>45544</v>
      </c>
      <c r="M1505" s="6" t="s">
        <v>25</v>
      </c>
      <c r="N1505" s="6"/>
      <c r="O1505" s="6">
        <f>HYPERLINK("https://docs.wto.org/imrd/directdoc.asp?DDFDocuments/t/G/SPS/NCAN1560.DOCX", "https://docs.wto.org/imrd/directdoc.asp?DDFDocuments/t/G/SPS/NCAN1560.DOCX")</f>
      </c>
      <c r="P1505" s="6">
        <f>HYPERLINK("https://docs.wto.org/imrd/directdoc.asp?DDFDocuments/u/G/SPS/NCAN1560.DOCX", "https://docs.wto.org/imrd/directdoc.asp?DDFDocuments/u/G/SPS/NCAN1560.DOCX")</f>
      </c>
      <c r="Q1505" s="6">
        <f>HYPERLINK("https://docs.wto.org/imrd/directdoc.asp?DDFDocuments/v/G/SPS/NCAN1560.DOCX", "https://docs.wto.org/imrd/directdoc.asp?DDFDocuments/v/G/SPS/NCAN1560.DOCX")</f>
      </c>
    </row>
    <row r="1506">
      <c r="A1506" s="6" t="s">
        <v>115</v>
      </c>
      <c r="B1506" s="7">
        <v>45474</v>
      </c>
      <c r="C1506" s="6">
        <f>HYPERLINK("https://eping.wto.org/en/Search?viewData= G/TBT/N/BRA/1552"," G/TBT/N/BRA/1552")</f>
      </c>
      <c r="D1506" s="8" t="s">
        <v>4750</v>
      </c>
      <c r="E1506" s="8" t="s">
        <v>4751</v>
      </c>
      <c r="F1506" s="8" t="s">
        <v>4752</v>
      </c>
      <c r="G1506" s="6" t="s">
        <v>40</v>
      </c>
      <c r="H1506" s="6" t="s">
        <v>40</v>
      </c>
      <c r="I1506" s="6" t="s">
        <v>142</v>
      </c>
      <c r="J1506" s="6" t="s">
        <v>40</v>
      </c>
      <c r="K1506" s="6"/>
      <c r="L1506" s="7" t="s">
        <v>40</v>
      </c>
      <c r="M1506" s="6" t="s">
        <v>25</v>
      </c>
      <c r="N1506" s="8" t="s">
        <v>4753</v>
      </c>
      <c r="O1506" s="6">
        <f>HYPERLINK("https://docs.wto.org/imrd/directdoc.asp?DDFDocuments/t/G/TBTN24/BRA1552.DOCX", "https://docs.wto.org/imrd/directdoc.asp?DDFDocuments/t/G/TBTN24/BRA1552.DOCX")</f>
      </c>
      <c r="P1506" s="6">
        <f>HYPERLINK("https://docs.wto.org/imrd/directdoc.asp?DDFDocuments/u/G/TBTN24/BRA1552.DOCX", "https://docs.wto.org/imrd/directdoc.asp?DDFDocuments/u/G/TBTN24/BRA1552.DOCX")</f>
      </c>
      <c r="Q1506" s="6">
        <f>HYPERLINK("https://docs.wto.org/imrd/directdoc.asp?DDFDocuments/v/G/TBTN24/BRA1552.DOCX", "https://docs.wto.org/imrd/directdoc.asp?DDFDocuments/v/G/TBTN24/BRA1552.DOCX")</f>
      </c>
    </row>
    <row r="1507">
      <c r="A1507" s="6" t="s">
        <v>160</v>
      </c>
      <c r="B1507" s="7">
        <v>45474</v>
      </c>
      <c r="C1507" s="6">
        <f>HYPERLINK("https://eping.wto.org/en/Search?viewData= G/TBT/N/USA/2118/Corr.1"," G/TBT/N/USA/2118/Corr.1")</f>
      </c>
      <c r="D1507" s="8" t="s">
        <v>4754</v>
      </c>
      <c r="E1507" s="8" t="s">
        <v>4755</v>
      </c>
      <c r="F1507" s="8" t="s">
        <v>4756</v>
      </c>
      <c r="G1507" s="6" t="s">
        <v>40</v>
      </c>
      <c r="H1507" s="6" t="s">
        <v>4757</v>
      </c>
      <c r="I1507" s="6" t="s">
        <v>4758</v>
      </c>
      <c r="J1507" s="6" t="s">
        <v>40</v>
      </c>
      <c r="K1507" s="6"/>
      <c r="L1507" s="7" t="s">
        <v>40</v>
      </c>
      <c r="M1507" s="6" t="s">
        <v>224</v>
      </c>
      <c r="N1507" s="8" t="s">
        <v>4759</v>
      </c>
      <c r="O1507" s="6">
        <f>HYPERLINK("https://docs.wto.org/imrd/directdoc.asp?DDFDocuments/t/G/TBTN24/USA2118C1.DOCX", "https://docs.wto.org/imrd/directdoc.asp?DDFDocuments/t/G/TBTN24/USA2118C1.DOCX")</f>
      </c>
      <c r="P1507" s="6">
        <f>HYPERLINK("https://docs.wto.org/imrd/directdoc.asp?DDFDocuments/u/G/TBTN24/USA2118C1.DOCX", "https://docs.wto.org/imrd/directdoc.asp?DDFDocuments/u/G/TBTN24/USA2118C1.DOCX")</f>
      </c>
      <c r="Q1507" s="6">
        <f>HYPERLINK("https://docs.wto.org/imrd/directdoc.asp?DDFDocuments/v/G/TBTN24/USA2118C1.DOCX", "https://docs.wto.org/imrd/directdoc.asp?DDFDocuments/v/G/TBTN24/USA2118C1.DOCX")</f>
      </c>
    </row>
    <row r="1508">
      <c r="A1508" s="6" t="s">
        <v>2030</v>
      </c>
      <c r="B1508" s="7">
        <v>45474</v>
      </c>
      <c r="C1508" s="6">
        <f>HYPERLINK("https://eping.wto.org/en/Search?viewData= G/TBT/N/UGA/1961"," G/TBT/N/UGA/1961")</f>
      </c>
      <c r="D1508" s="8" t="s">
        <v>4760</v>
      </c>
      <c r="E1508" s="8" t="s">
        <v>4761</v>
      </c>
      <c r="F1508" s="8" t="s">
        <v>4661</v>
      </c>
      <c r="G1508" s="6" t="s">
        <v>4662</v>
      </c>
      <c r="H1508" s="6" t="s">
        <v>4663</v>
      </c>
      <c r="I1508" s="6" t="s">
        <v>134</v>
      </c>
      <c r="J1508" s="6" t="s">
        <v>40</v>
      </c>
      <c r="K1508" s="6"/>
      <c r="L1508" s="7">
        <v>45534</v>
      </c>
      <c r="M1508" s="6" t="s">
        <v>25</v>
      </c>
      <c r="N1508" s="6"/>
      <c r="O1508" s="6">
        <f>HYPERLINK("https://docs.wto.org/imrd/directdoc.asp?DDFDocuments/t/G/TBTN24/UGA1961.DOCX", "https://docs.wto.org/imrd/directdoc.asp?DDFDocuments/t/G/TBTN24/UGA1961.DOCX")</f>
      </c>
      <c r="P1508" s="6">
        <f>HYPERLINK("https://docs.wto.org/imrd/directdoc.asp?DDFDocuments/u/G/TBTN24/UGA1961.DOCX", "https://docs.wto.org/imrd/directdoc.asp?DDFDocuments/u/G/TBTN24/UGA1961.DOCX")</f>
      </c>
      <c r="Q1508" s="6">
        <f>HYPERLINK("https://docs.wto.org/imrd/directdoc.asp?DDFDocuments/v/G/TBTN24/UGA1961.DOCX", "https://docs.wto.org/imrd/directdoc.asp?DDFDocuments/v/G/TBTN24/UGA1961.DOCX")</f>
      </c>
    </row>
    <row r="1509">
      <c r="A1509" s="6" t="s">
        <v>2030</v>
      </c>
      <c r="B1509" s="7">
        <v>45474</v>
      </c>
      <c r="C1509" s="6">
        <f>HYPERLINK("https://eping.wto.org/en/Search?viewData= G/TBT/N/UGA/1959"," G/TBT/N/UGA/1959")</f>
      </c>
      <c r="D1509" s="8" t="s">
        <v>4762</v>
      </c>
      <c r="E1509" s="8" t="s">
        <v>4763</v>
      </c>
      <c r="F1509" s="8" t="s">
        <v>4661</v>
      </c>
      <c r="G1509" s="6" t="s">
        <v>4662</v>
      </c>
      <c r="H1509" s="6" t="s">
        <v>4663</v>
      </c>
      <c r="I1509" s="6" t="s">
        <v>134</v>
      </c>
      <c r="J1509" s="6" t="s">
        <v>40</v>
      </c>
      <c r="K1509" s="6"/>
      <c r="L1509" s="7">
        <v>45534</v>
      </c>
      <c r="M1509" s="6" t="s">
        <v>25</v>
      </c>
      <c r="N1509" s="6"/>
      <c r="O1509" s="6">
        <f>HYPERLINK("https://docs.wto.org/imrd/directdoc.asp?DDFDocuments/t/G/TBTN24/UGA1959.DOCX", "https://docs.wto.org/imrd/directdoc.asp?DDFDocuments/t/G/TBTN24/UGA1959.DOCX")</f>
      </c>
      <c r="P1509" s="6">
        <f>HYPERLINK("https://docs.wto.org/imrd/directdoc.asp?DDFDocuments/u/G/TBTN24/UGA1959.DOCX", "https://docs.wto.org/imrd/directdoc.asp?DDFDocuments/u/G/TBTN24/UGA1959.DOCX")</f>
      </c>
      <c r="Q1509" s="6">
        <f>HYPERLINK("https://docs.wto.org/imrd/directdoc.asp?DDFDocuments/v/G/TBTN24/UGA1959.DOCX", "https://docs.wto.org/imrd/directdoc.asp?DDFDocuments/v/G/TBTN24/UGA1959.DOCX")</f>
      </c>
    </row>
    <row r="1510">
      <c r="A1510" s="6" t="s">
        <v>160</v>
      </c>
      <c r="B1510" s="7">
        <v>45474</v>
      </c>
      <c r="C1510" s="6">
        <f>HYPERLINK("https://eping.wto.org/en/Search?viewData= G/TBT/N/USA/1668/Add.3"," G/TBT/N/USA/1668/Add.3")</f>
      </c>
      <c r="D1510" s="8" t="s">
        <v>4764</v>
      </c>
      <c r="E1510" s="8" t="s">
        <v>4765</v>
      </c>
      <c r="F1510" s="8" t="s">
        <v>163</v>
      </c>
      <c r="G1510" s="6" t="s">
        <v>40</v>
      </c>
      <c r="H1510" s="6" t="s">
        <v>4766</v>
      </c>
      <c r="I1510" s="6" t="s">
        <v>165</v>
      </c>
      <c r="J1510" s="6" t="s">
        <v>40</v>
      </c>
      <c r="K1510" s="6"/>
      <c r="L1510" s="7" t="s">
        <v>40</v>
      </c>
      <c r="M1510" s="6" t="s">
        <v>76</v>
      </c>
      <c r="N1510" s="8" t="s">
        <v>4767</v>
      </c>
      <c r="O1510" s="6">
        <f>HYPERLINK("https://docs.wto.org/imrd/directdoc.asp?DDFDocuments/t/G/TBTN20/USA1668A3.DOCX", "https://docs.wto.org/imrd/directdoc.asp?DDFDocuments/t/G/TBTN20/USA1668A3.DOCX")</f>
      </c>
      <c r="P1510" s="6">
        <f>HYPERLINK("https://docs.wto.org/imrd/directdoc.asp?DDFDocuments/u/G/TBTN20/USA1668A3.DOCX", "https://docs.wto.org/imrd/directdoc.asp?DDFDocuments/u/G/TBTN20/USA1668A3.DOCX")</f>
      </c>
      <c r="Q1510" s="6">
        <f>HYPERLINK("https://docs.wto.org/imrd/directdoc.asp?DDFDocuments/v/G/TBTN20/USA1668A3.DOCX", "https://docs.wto.org/imrd/directdoc.asp?DDFDocuments/v/G/TBTN20/USA1668A3.DOCX")</f>
      </c>
    </row>
    <row r="1511">
      <c r="A1511" s="6" t="s">
        <v>419</v>
      </c>
      <c r="B1511" s="7">
        <v>45474</v>
      </c>
      <c r="C1511" s="6">
        <f>HYPERLINK("https://eping.wto.org/en/Search?viewData= G/SPS/N/JPN/1217/Add.1"," G/SPS/N/JPN/1217/Add.1")</f>
      </c>
      <c r="D1511" s="8" t="s">
        <v>4677</v>
      </c>
      <c r="E1511" s="8" t="s">
        <v>4768</v>
      </c>
      <c r="F1511" s="8" t="s">
        <v>4769</v>
      </c>
      <c r="G1511" s="6" t="s">
        <v>4770</v>
      </c>
      <c r="H1511" s="6" t="s">
        <v>40</v>
      </c>
      <c r="I1511" s="6" t="s">
        <v>38</v>
      </c>
      <c r="J1511" s="6" t="s">
        <v>2610</v>
      </c>
      <c r="K1511" s="6"/>
      <c r="L1511" s="7" t="s">
        <v>40</v>
      </c>
      <c r="M1511" s="6" t="s">
        <v>76</v>
      </c>
      <c r="N1511" s="8" t="s">
        <v>4771</v>
      </c>
      <c r="O1511" s="6">
        <f>HYPERLINK("https://docs.wto.org/imrd/directdoc.asp?DDFDocuments/t/G/SPS/NJPN1217A1.DOCX", "https://docs.wto.org/imrd/directdoc.asp?DDFDocuments/t/G/SPS/NJPN1217A1.DOCX")</f>
      </c>
      <c r="P1511" s="6">
        <f>HYPERLINK("https://docs.wto.org/imrd/directdoc.asp?DDFDocuments/u/G/SPS/NJPN1217A1.DOCX", "https://docs.wto.org/imrd/directdoc.asp?DDFDocuments/u/G/SPS/NJPN1217A1.DOCX")</f>
      </c>
      <c r="Q1511" s="6">
        <f>HYPERLINK("https://docs.wto.org/imrd/directdoc.asp?DDFDocuments/v/G/SPS/NJPN1217A1.DOCX", "https://docs.wto.org/imrd/directdoc.asp?DDFDocuments/v/G/SPS/NJPN1217A1.DOCX")</f>
      </c>
    </row>
    <row r="1512">
      <c r="A1512" s="6" t="s">
        <v>419</v>
      </c>
      <c r="B1512" s="7">
        <v>45474</v>
      </c>
      <c r="C1512" s="6">
        <f>HYPERLINK("https://eping.wto.org/en/Search?viewData= G/TBT/N/JPN/818"," G/TBT/N/JPN/818")</f>
      </c>
      <c r="D1512" s="8" t="s">
        <v>4772</v>
      </c>
      <c r="E1512" s="8" t="s">
        <v>4773</v>
      </c>
      <c r="F1512" s="8" t="s">
        <v>4774</v>
      </c>
      <c r="G1512" s="6" t="s">
        <v>40</v>
      </c>
      <c r="H1512" s="6" t="s">
        <v>212</v>
      </c>
      <c r="I1512" s="6" t="s">
        <v>142</v>
      </c>
      <c r="J1512" s="6" t="s">
        <v>95</v>
      </c>
      <c r="K1512" s="6"/>
      <c r="L1512" s="7">
        <v>45502</v>
      </c>
      <c r="M1512" s="6" t="s">
        <v>25</v>
      </c>
      <c r="N1512" s="8" t="s">
        <v>4775</v>
      </c>
      <c r="O1512" s="6">
        <f>HYPERLINK("https://docs.wto.org/imrd/directdoc.asp?DDFDocuments/t/G/TBTN24/JPN818.DOCX", "https://docs.wto.org/imrd/directdoc.asp?DDFDocuments/t/G/TBTN24/JPN818.DOCX")</f>
      </c>
      <c r="P1512" s="6">
        <f>HYPERLINK("https://docs.wto.org/imrd/directdoc.asp?DDFDocuments/u/G/TBTN24/JPN818.DOCX", "https://docs.wto.org/imrd/directdoc.asp?DDFDocuments/u/G/TBTN24/JPN818.DOCX")</f>
      </c>
      <c r="Q1512" s="6">
        <f>HYPERLINK("https://docs.wto.org/imrd/directdoc.asp?DDFDocuments/v/G/TBTN24/JPN818.DOCX", "https://docs.wto.org/imrd/directdoc.asp?DDFDocuments/v/G/TBTN24/JPN818.DOCX")</f>
      </c>
    </row>
    <row r="1513">
      <c r="A1513" s="6" t="s">
        <v>419</v>
      </c>
      <c r="B1513" s="7">
        <v>45474</v>
      </c>
      <c r="C1513" s="6">
        <f>HYPERLINK("https://eping.wto.org/en/Search?viewData= G/SPS/N/JPN/1222/Add.1"," G/SPS/N/JPN/1222/Add.1")</f>
      </c>
      <c r="D1513" s="8" t="s">
        <v>4677</v>
      </c>
      <c r="E1513" s="8" t="s">
        <v>4776</v>
      </c>
      <c r="F1513" s="8" t="s">
        <v>4777</v>
      </c>
      <c r="G1513" s="6" t="s">
        <v>4778</v>
      </c>
      <c r="H1513" s="6" t="s">
        <v>40</v>
      </c>
      <c r="I1513" s="6" t="s">
        <v>38</v>
      </c>
      <c r="J1513" s="6" t="s">
        <v>1756</v>
      </c>
      <c r="K1513" s="6"/>
      <c r="L1513" s="7" t="s">
        <v>40</v>
      </c>
      <c r="M1513" s="6" t="s">
        <v>76</v>
      </c>
      <c r="N1513" s="8" t="s">
        <v>4779</v>
      </c>
      <c r="O1513" s="6">
        <f>HYPERLINK("https://docs.wto.org/imrd/directdoc.asp?DDFDocuments/t/G/SPS/NJPN1222A1.DOCX", "https://docs.wto.org/imrd/directdoc.asp?DDFDocuments/t/G/SPS/NJPN1222A1.DOCX")</f>
      </c>
      <c r="P1513" s="6">
        <f>HYPERLINK("https://docs.wto.org/imrd/directdoc.asp?DDFDocuments/u/G/SPS/NJPN1222A1.DOCX", "https://docs.wto.org/imrd/directdoc.asp?DDFDocuments/u/G/SPS/NJPN1222A1.DOCX")</f>
      </c>
      <c r="Q1513" s="6">
        <f>HYPERLINK("https://docs.wto.org/imrd/directdoc.asp?DDFDocuments/v/G/SPS/NJPN1222A1.DOCX", "https://docs.wto.org/imrd/directdoc.asp?DDFDocuments/v/G/SPS/NJPN1222A1.DOCX")</f>
      </c>
    </row>
    <row r="1514">
      <c r="A1514" s="6" t="s">
        <v>4780</v>
      </c>
      <c r="B1514" s="7">
        <v>45471</v>
      </c>
      <c r="C1514" s="6">
        <f>HYPERLINK("https://eping.wto.org/en/Search?viewData= G/TBT/N/TON/3"," G/TBT/N/TON/3")</f>
      </c>
      <c r="D1514" s="8" t="s">
        <v>4781</v>
      </c>
      <c r="E1514" s="8" t="s">
        <v>4782</v>
      </c>
      <c r="F1514" s="8" t="s">
        <v>4783</v>
      </c>
      <c r="G1514" s="6" t="s">
        <v>40</v>
      </c>
      <c r="H1514" s="6" t="s">
        <v>4784</v>
      </c>
      <c r="I1514" s="6" t="s">
        <v>213</v>
      </c>
      <c r="J1514" s="6" t="s">
        <v>40</v>
      </c>
      <c r="K1514" s="6"/>
      <c r="L1514" s="7" t="s">
        <v>40</v>
      </c>
      <c r="M1514" s="6" t="s">
        <v>25</v>
      </c>
      <c r="N1514" s="8" t="s">
        <v>4785</v>
      </c>
      <c r="O1514" s="6">
        <f>HYPERLINK("https://docs.wto.org/imrd/directdoc.asp?DDFDocuments/t/G/TBTN24/TON3.DOCX", "https://docs.wto.org/imrd/directdoc.asp?DDFDocuments/t/G/TBTN24/TON3.DOCX")</f>
      </c>
      <c r="P1514" s="6">
        <f>HYPERLINK("https://docs.wto.org/imrd/directdoc.asp?DDFDocuments/u/G/TBTN24/TON3.DOCX", "https://docs.wto.org/imrd/directdoc.asp?DDFDocuments/u/G/TBTN24/TON3.DOCX")</f>
      </c>
      <c r="Q1514" s="6">
        <f>HYPERLINK("https://docs.wto.org/imrd/directdoc.asp?DDFDocuments/v/G/TBTN24/TON3.DOCX", "https://docs.wto.org/imrd/directdoc.asp?DDFDocuments/v/G/TBTN24/TON3.DOCX")</f>
      </c>
    </row>
    <row r="1515">
      <c r="A1515" s="6" t="s">
        <v>89</v>
      </c>
      <c r="B1515" s="7">
        <v>45471</v>
      </c>
      <c r="C1515" s="6">
        <f>HYPERLINK("https://eping.wto.org/en/Search?viewData= G/TBT/N/ECU/542"," G/TBT/N/ECU/542")</f>
      </c>
      <c r="D1515" s="8" t="s">
        <v>4786</v>
      </c>
      <c r="E1515" s="8" t="s">
        <v>4787</v>
      </c>
      <c r="F1515" s="8" t="s">
        <v>4788</v>
      </c>
      <c r="G1515" s="6" t="s">
        <v>2350</v>
      </c>
      <c r="H1515" s="6" t="s">
        <v>4789</v>
      </c>
      <c r="I1515" s="6" t="s">
        <v>94</v>
      </c>
      <c r="J1515" s="6" t="s">
        <v>40</v>
      </c>
      <c r="K1515" s="6"/>
      <c r="L1515" s="7">
        <v>45531</v>
      </c>
      <c r="M1515" s="6" t="s">
        <v>25</v>
      </c>
      <c r="N1515" s="8" t="s">
        <v>4790</v>
      </c>
      <c r="O1515" s="6">
        <f>HYPERLINK("https://docs.wto.org/imrd/directdoc.asp?DDFDocuments/t/G/TBTN24/ECU542.DOCX", "https://docs.wto.org/imrd/directdoc.asp?DDFDocuments/t/G/TBTN24/ECU542.DOCX")</f>
      </c>
      <c r="P1515" s="6">
        <f>HYPERLINK("https://docs.wto.org/imrd/directdoc.asp?DDFDocuments/u/G/TBTN24/ECU542.DOCX", "https://docs.wto.org/imrd/directdoc.asp?DDFDocuments/u/G/TBTN24/ECU542.DOCX")</f>
      </c>
      <c r="Q1515" s="6">
        <f>HYPERLINK("https://docs.wto.org/imrd/directdoc.asp?DDFDocuments/v/G/TBTN24/ECU542.DOCX", "https://docs.wto.org/imrd/directdoc.asp?DDFDocuments/v/G/TBTN24/ECU542.DOCX")</f>
      </c>
    </row>
    <row r="1516">
      <c r="A1516" s="6" t="s">
        <v>70</v>
      </c>
      <c r="B1516" s="7">
        <v>45471</v>
      </c>
      <c r="C1516" s="6">
        <f>HYPERLINK("https://eping.wto.org/en/Search?viewData= G/SPS/N/UKR/223"," G/SPS/N/UKR/223")</f>
      </c>
      <c r="D1516" s="8" t="s">
        <v>4791</v>
      </c>
      <c r="E1516" s="8" t="s">
        <v>4792</v>
      </c>
      <c r="F1516" s="8" t="s">
        <v>4793</v>
      </c>
      <c r="G1516" s="6" t="s">
        <v>4794</v>
      </c>
      <c r="H1516" s="6" t="s">
        <v>40</v>
      </c>
      <c r="I1516" s="6" t="s">
        <v>353</v>
      </c>
      <c r="J1516" s="6" t="s">
        <v>915</v>
      </c>
      <c r="K1516" s="6" t="s">
        <v>40</v>
      </c>
      <c r="L1516" s="7">
        <v>45531</v>
      </c>
      <c r="M1516" s="6" t="s">
        <v>25</v>
      </c>
      <c r="N1516" s="8" t="s">
        <v>4795</v>
      </c>
      <c r="O1516" s="6">
        <f>HYPERLINK("https://docs.wto.org/imrd/directdoc.asp?DDFDocuments/t/G/SPS/NUKR223.DOCX", "https://docs.wto.org/imrd/directdoc.asp?DDFDocuments/t/G/SPS/NUKR223.DOCX")</f>
      </c>
      <c r="P1516" s="6">
        <f>HYPERLINK("https://docs.wto.org/imrd/directdoc.asp?DDFDocuments/u/G/SPS/NUKR223.DOCX", "https://docs.wto.org/imrd/directdoc.asp?DDFDocuments/u/G/SPS/NUKR223.DOCX")</f>
      </c>
      <c r="Q1516" s="6">
        <f>HYPERLINK("https://docs.wto.org/imrd/directdoc.asp?DDFDocuments/v/G/SPS/NUKR223.DOCX", "https://docs.wto.org/imrd/directdoc.asp?DDFDocuments/v/G/SPS/NUKR223.DOCX")</f>
      </c>
    </row>
    <row r="1517">
      <c r="A1517" s="6" t="s">
        <v>1278</v>
      </c>
      <c r="B1517" s="7">
        <v>45471</v>
      </c>
      <c r="C1517" s="6">
        <f>HYPERLINK("https://eping.wto.org/en/Search?viewData= G/TBT/N/LKA/59"," G/TBT/N/LKA/59")</f>
      </c>
      <c r="D1517" s="8" t="s">
        <v>4796</v>
      </c>
      <c r="E1517" s="8" t="s">
        <v>4797</v>
      </c>
      <c r="F1517" s="8" t="s">
        <v>4798</v>
      </c>
      <c r="G1517" s="6" t="s">
        <v>40</v>
      </c>
      <c r="H1517" s="6" t="s">
        <v>40</v>
      </c>
      <c r="I1517" s="6" t="s">
        <v>134</v>
      </c>
      <c r="J1517" s="6" t="s">
        <v>40</v>
      </c>
      <c r="K1517" s="6"/>
      <c r="L1517" s="7" t="s">
        <v>40</v>
      </c>
      <c r="M1517" s="6" t="s">
        <v>25</v>
      </c>
      <c r="N1517" s="8" t="s">
        <v>4799</v>
      </c>
      <c r="O1517" s="6">
        <f>HYPERLINK("https://docs.wto.org/imrd/directdoc.asp?DDFDocuments/t/G/TBTN24/LKA59.DOCX", "https://docs.wto.org/imrd/directdoc.asp?DDFDocuments/t/G/TBTN24/LKA59.DOCX")</f>
      </c>
      <c r="P1517" s="6">
        <f>HYPERLINK("https://docs.wto.org/imrd/directdoc.asp?DDFDocuments/u/G/TBTN24/LKA59.DOCX", "https://docs.wto.org/imrd/directdoc.asp?DDFDocuments/u/G/TBTN24/LKA59.DOCX")</f>
      </c>
      <c r="Q1517" s="6">
        <f>HYPERLINK("https://docs.wto.org/imrd/directdoc.asp?DDFDocuments/v/G/TBTN24/LKA59.DOCX", "https://docs.wto.org/imrd/directdoc.asp?DDFDocuments/v/G/TBTN24/LKA59.DOCX")</f>
      </c>
    </row>
    <row r="1518">
      <c r="A1518" s="6" t="s">
        <v>89</v>
      </c>
      <c r="B1518" s="7">
        <v>45471</v>
      </c>
      <c r="C1518" s="6">
        <f>HYPERLINK("https://eping.wto.org/en/Search?viewData= G/TBT/N/ECU/543"," G/TBT/N/ECU/543")</f>
      </c>
      <c r="D1518" s="8" t="s">
        <v>4800</v>
      </c>
      <c r="E1518" s="8" t="s">
        <v>4801</v>
      </c>
      <c r="F1518" s="8" t="s">
        <v>4802</v>
      </c>
      <c r="G1518" s="6" t="s">
        <v>4803</v>
      </c>
      <c r="H1518" s="6" t="s">
        <v>4804</v>
      </c>
      <c r="I1518" s="6" t="s">
        <v>94</v>
      </c>
      <c r="J1518" s="6" t="s">
        <v>40</v>
      </c>
      <c r="K1518" s="6"/>
      <c r="L1518" s="7">
        <v>45531</v>
      </c>
      <c r="M1518" s="6" t="s">
        <v>25</v>
      </c>
      <c r="N1518" s="8" t="s">
        <v>4805</v>
      </c>
      <c r="O1518" s="6">
        <f>HYPERLINK("https://docs.wto.org/imrd/directdoc.asp?DDFDocuments/t/G/TBTN24/ECU543.DOCX", "https://docs.wto.org/imrd/directdoc.asp?DDFDocuments/t/G/TBTN24/ECU543.DOCX")</f>
      </c>
      <c r="P1518" s="6">
        <f>HYPERLINK("https://docs.wto.org/imrd/directdoc.asp?DDFDocuments/u/G/TBTN24/ECU543.DOCX", "https://docs.wto.org/imrd/directdoc.asp?DDFDocuments/u/G/TBTN24/ECU543.DOCX")</f>
      </c>
      <c r="Q1518" s="6">
        <f>HYPERLINK("https://docs.wto.org/imrd/directdoc.asp?DDFDocuments/v/G/TBTN24/ECU543.DOCX", "https://docs.wto.org/imrd/directdoc.asp?DDFDocuments/v/G/TBTN24/ECU543.DOCX")</f>
      </c>
    </row>
    <row r="1519">
      <c r="A1519" s="6" t="s">
        <v>515</v>
      </c>
      <c r="B1519" s="7">
        <v>45471</v>
      </c>
      <c r="C1519" s="6">
        <f>HYPERLINK("https://eping.wto.org/en/Search?viewData= G/SPS/N/EU/779"," G/SPS/N/EU/779")</f>
      </c>
      <c r="D1519" s="8" t="s">
        <v>4806</v>
      </c>
      <c r="E1519" s="8" t="s">
        <v>4807</v>
      </c>
      <c r="F1519" s="8" t="s">
        <v>4808</v>
      </c>
      <c r="G1519" s="6" t="s">
        <v>3293</v>
      </c>
      <c r="H1519" s="6" t="s">
        <v>40</v>
      </c>
      <c r="I1519" s="6" t="s">
        <v>369</v>
      </c>
      <c r="J1519" s="6" t="s">
        <v>588</v>
      </c>
      <c r="K1519" s="6"/>
      <c r="L1519" s="7">
        <v>45531</v>
      </c>
      <c r="M1519" s="6" t="s">
        <v>25</v>
      </c>
      <c r="N1519" s="8" t="s">
        <v>4809</v>
      </c>
      <c r="O1519" s="6">
        <f>HYPERLINK("https://docs.wto.org/imrd/directdoc.asp?DDFDocuments/t/G/SPS/NEU779.DOCX", "https://docs.wto.org/imrd/directdoc.asp?DDFDocuments/t/G/SPS/NEU779.DOCX")</f>
      </c>
      <c r="P1519" s="6">
        <f>HYPERLINK("https://docs.wto.org/imrd/directdoc.asp?DDFDocuments/u/G/SPS/NEU779.DOCX", "https://docs.wto.org/imrd/directdoc.asp?DDFDocuments/u/G/SPS/NEU779.DOCX")</f>
      </c>
      <c r="Q1519" s="6">
        <f>HYPERLINK("https://docs.wto.org/imrd/directdoc.asp?DDFDocuments/v/G/SPS/NEU779.DOCX", "https://docs.wto.org/imrd/directdoc.asp?DDFDocuments/v/G/SPS/NEU779.DOCX")</f>
      </c>
    </row>
    <row r="1520">
      <c r="A1520" s="6" t="s">
        <v>515</v>
      </c>
      <c r="B1520" s="7">
        <v>45471</v>
      </c>
      <c r="C1520" s="6">
        <f>HYPERLINK("https://eping.wto.org/en/Search?viewData= G/SPS/N/EU/778"," G/SPS/N/EU/778")</f>
      </c>
      <c r="D1520" s="8" t="s">
        <v>4810</v>
      </c>
      <c r="E1520" s="8" t="s">
        <v>4811</v>
      </c>
      <c r="F1520" s="8" t="s">
        <v>4812</v>
      </c>
      <c r="G1520" s="6" t="s">
        <v>40</v>
      </c>
      <c r="H1520" s="6" t="s">
        <v>40</v>
      </c>
      <c r="I1520" s="6" t="s">
        <v>1420</v>
      </c>
      <c r="J1520" s="6" t="s">
        <v>95</v>
      </c>
      <c r="K1520" s="6"/>
      <c r="L1520" s="7">
        <v>45531</v>
      </c>
      <c r="M1520" s="6" t="s">
        <v>25</v>
      </c>
      <c r="N1520" s="8" t="s">
        <v>4813</v>
      </c>
      <c r="O1520" s="6">
        <f>HYPERLINK("https://docs.wto.org/imrd/directdoc.asp?DDFDocuments/t/G/SPS/NEU778.DOCX", "https://docs.wto.org/imrd/directdoc.asp?DDFDocuments/t/G/SPS/NEU778.DOCX")</f>
      </c>
      <c r="P1520" s="6">
        <f>HYPERLINK("https://docs.wto.org/imrd/directdoc.asp?DDFDocuments/u/G/SPS/NEU778.DOCX", "https://docs.wto.org/imrd/directdoc.asp?DDFDocuments/u/G/SPS/NEU778.DOCX")</f>
      </c>
      <c r="Q1520" s="6">
        <f>HYPERLINK("https://docs.wto.org/imrd/directdoc.asp?DDFDocuments/v/G/SPS/NEU778.DOCX", "https://docs.wto.org/imrd/directdoc.asp?DDFDocuments/v/G/SPS/NEU778.DOCX")</f>
      </c>
    </row>
    <row r="1521">
      <c r="A1521" s="6" t="s">
        <v>70</v>
      </c>
      <c r="B1521" s="7">
        <v>45471</v>
      </c>
      <c r="C1521" s="6">
        <f>HYPERLINK("https://eping.wto.org/en/Search?viewData= G/TBT/N/UKR/302"," G/TBT/N/UKR/302")</f>
      </c>
      <c r="D1521" s="8" t="s">
        <v>71</v>
      </c>
      <c r="E1521" s="8" t="s">
        <v>4814</v>
      </c>
      <c r="F1521" s="8" t="s">
        <v>73</v>
      </c>
      <c r="G1521" s="6" t="s">
        <v>40</v>
      </c>
      <c r="H1521" s="6" t="s">
        <v>3325</v>
      </c>
      <c r="I1521" s="6" t="s">
        <v>75</v>
      </c>
      <c r="J1521" s="6" t="s">
        <v>40</v>
      </c>
      <c r="K1521" s="6"/>
      <c r="L1521" s="7">
        <v>45531</v>
      </c>
      <c r="M1521" s="6" t="s">
        <v>25</v>
      </c>
      <c r="N1521" s="8" t="s">
        <v>4815</v>
      </c>
      <c r="O1521" s="6">
        <f>HYPERLINK("https://docs.wto.org/imrd/directdoc.asp?DDFDocuments/t/G/TBTN24/UKR302.DOCX", "https://docs.wto.org/imrd/directdoc.asp?DDFDocuments/t/G/TBTN24/UKR302.DOCX")</f>
      </c>
      <c r="P1521" s="6">
        <f>HYPERLINK("https://docs.wto.org/imrd/directdoc.asp?DDFDocuments/u/G/TBTN24/UKR302.DOCX", "https://docs.wto.org/imrd/directdoc.asp?DDFDocuments/u/G/TBTN24/UKR302.DOCX")</f>
      </c>
      <c r="Q1521" s="6">
        <f>HYPERLINK("https://docs.wto.org/imrd/directdoc.asp?DDFDocuments/v/G/TBTN24/UKR302.DOCX", "https://docs.wto.org/imrd/directdoc.asp?DDFDocuments/v/G/TBTN24/UKR302.DOCX")</f>
      </c>
    </row>
    <row r="1522">
      <c r="A1522" s="6" t="s">
        <v>160</v>
      </c>
      <c r="B1522" s="7">
        <v>45471</v>
      </c>
      <c r="C1522" s="6">
        <f>HYPERLINK("https://eping.wto.org/en/Search?viewData= G/TBT/N/USA/1055/Add.2"," G/TBT/N/USA/1055/Add.2")</f>
      </c>
      <c r="D1522" s="8" t="s">
        <v>4816</v>
      </c>
      <c r="E1522" s="8" t="s">
        <v>4817</v>
      </c>
      <c r="F1522" s="8" t="s">
        <v>3806</v>
      </c>
      <c r="G1522" s="6" t="s">
        <v>40</v>
      </c>
      <c r="H1522" s="6" t="s">
        <v>3807</v>
      </c>
      <c r="I1522" s="6" t="s">
        <v>75</v>
      </c>
      <c r="J1522" s="6" t="s">
        <v>40</v>
      </c>
      <c r="K1522" s="6"/>
      <c r="L1522" s="7" t="s">
        <v>40</v>
      </c>
      <c r="M1522" s="6" t="s">
        <v>76</v>
      </c>
      <c r="N1522" s="8" t="s">
        <v>4818</v>
      </c>
      <c r="O1522" s="6">
        <f>HYPERLINK("https://docs.wto.org/imrd/directdoc.asp?DDFDocuments/t/G/TBTN16/USA1055A2.DOCX", "https://docs.wto.org/imrd/directdoc.asp?DDFDocuments/t/G/TBTN16/USA1055A2.DOCX")</f>
      </c>
      <c r="P1522" s="6">
        <f>HYPERLINK("https://docs.wto.org/imrd/directdoc.asp?DDFDocuments/u/G/TBTN16/USA1055A2.DOCX", "https://docs.wto.org/imrd/directdoc.asp?DDFDocuments/u/G/TBTN16/USA1055A2.DOCX")</f>
      </c>
      <c r="Q1522" s="6">
        <f>HYPERLINK("https://docs.wto.org/imrd/directdoc.asp?DDFDocuments/v/G/TBTN16/USA1055A2.DOCX", "https://docs.wto.org/imrd/directdoc.asp?DDFDocuments/v/G/TBTN16/USA1055A2.DOCX")</f>
      </c>
    </row>
    <row r="1523">
      <c r="A1523" s="6" t="s">
        <v>1076</v>
      </c>
      <c r="B1523" s="7">
        <v>45471</v>
      </c>
      <c r="C1523" s="6">
        <f>HYPERLINK("https://eping.wto.org/en/Search?viewData= G/SPS/N/CHN/1301"," G/SPS/N/CHN/1301")</f>
      </c>
      <c r="D1523" s="8" t="s">
        <v>4819</v>
      </c>
      <c r="E1523" s="8" t="s">
        <v>4820</v>
      </c>
      <c r="F1523" s="8" t="s">
        <v>4821</v>
      </c>
      <c r="G1523" s="6" t="s">
        <v>40</v>
      </c>
      <c r="H1523" s="6" t="s">
        <v>40</v>
      </c>
      <c r="I1523" s="6" t="s">
        <v>184</v>
      </c>
      <c r="J1523" s="6" t="s">
        <v>588</v>
      </c>
      <c r="K1523" s="6" t="s">
        <v>40</v>
      </c>
      <c r="L1523" s="7">
        <v>45531</v>
      </c>
      <c r="M1523" s="6" t="s">
        <v>25</v>
      </c>
      <c r="N1523" s="8" t="s">
        <v>4822</v>
      </c>
      <c r="O1523" s="6">
        <f>HYPERLINK("https://docs.wto.org/imrd/directdoc.asp?DDFDocuments/t/G/SPS/NCHN1301.DOCX", "https://docs.wto.org/imrd/directdoc.asp?DDFDocuments/t/G/SPS/NCHN1301.DOCX")</f>
      </c>
      <c r="P1523" s="6">
        <f>HYPERLINK("https://docs.wto.org/imrd/directdoc.asp?DDFDocuments/u/G/SPS/NCHN1301.DOCX", "https://docs.wto.org/imrd/directdoc.asp?DDFDocuments/u/G/SPS/NCHN1301.DOCX")</f>
      </c>
      <c r="Q1523" s="6">
        <f>HYPERLINK("https://docs.wto.org/imrd/directdoc.asp?DDFDocuments/v/G/SPS/NCHN1301.DOCX", "https://docs.wto.org/imrd/directdoc.asp?DDFDocuments/v/G/SPS/NCHN1301.DOCX")</f>
      </c>
    </row>
    <row r="1524">
      <c r="A1524" s="6" t="s">
        <v>99</v>
      </c>
      <c r="B1524" s="7">
        <v>45471</v>
      </c>
      <c r="C1524" s="6">
        <f>HYPERLINK("https://eping.wto.org/en/Search?viewData= G/TBT/N/AUS/170"," G/TBT/N/AUS/170")</f>
      </c>
      <c r="D1524" s="8" t="s">
        <v>4823</v>
      </c>
      <c r="E1524" s="8" t="s">
        <v>4824</v>
      </c>
      <c r="F1524" s="8" t="s">
        <v>4825</v>
      </c>
      <c r="G1524" s="6" t="s">
        <v>4826</v>
      </c>
      <c r="H1524" s="6" t="s">
        <v>4827</v>
      </c>
      <c r="I1524" s="6" t="s">
        <v>147</v>
      </c>
      <c r="J1524" s="6" t="s">
        <v>40</v>
      </c>
      <c r="K1524" s="6"/>
      <c r="L1524" s="7">
        <v>45657</v>
      </c>
      <c r="M1524" s="6" t="s">
        <v>25</v>
      </c>
      <c r="N1524" s="8" t="s">
        <v>4828</v>
      </c>
      <c r="O1524" s="6">
        <f>HYPERLINK("https://docs.wto.org/imrd/directdoc.asp?DDFDocuments/t/G/TBTN24/AUS170.DOCX", "https://docs.wto.org/imrd/directdoc.asp?DDFDocuments/t/G/TBTN24/AUS170.DOCX")</f>
      </c>
      <c r="P1524" s="6">
        <f>HYPERLINK("https://docs.wto.org/imrd/directdoc.asp?DDFDocuments/u/G/TBTN24/AUS170.DOCX", "https://docs.wto.org/imrd/directdoc.asp?DDFDocuments/u/G/TBTN24/AUS170.DOCX")</f>
      </c>
      <c r="Q1524" s="6">
        <f>HYPERLINK("https://docs.wto.org/imrd/directdoc.asp?DDFDocuments/v/G/TBTN24/AUS170.DOCX", "https://docs.wto.org/imrd/directdoc.asp?DDFDocuments/v/G/TBTN24/AUS170.DOCX")</f>
      </c>
    </row>
    <row r="1525">
      <c r="A1525" s="6" t="s">
        <v>880</v>
      </c>
      <c r="B1525" s="7">
        <v>45470</v>
      </c>
      <c r="C1525" s="6">
        <f>HYPERLINK("https://eping.wto.org/en/Search?viewData= G/TBT/N/BDI/486, G/TBT/N/KEN/1634, G/TBT/N/RWA/1035, G/TBT/N/TZA/1143, G/TBT/N/UGA/1953"," G/TBT/N/BDI/486, G/TBT/N/KEN/1634, G/TBT/N/RWA/1035, G/TBT/N/TZA/1143, G/TBT/N/UGA/1953")</f>
      </c>
      <c r="D1525" s="8" t="s">
        <v>4829</v>
      </c>
      <c r="E1525" s="8" t="s">
        <v>4830</v>
      </c>
      <c r="F1525" s="8" t="s">
        <v>4831</v>
      </c>
      <c r="G1525" s="6" t="s">
        <v>4832</v>
      </c>
      <c r="H1525" s="6" t="s">
        <v>2022</v>
      </c>
      <c r="I1525" s="6" t="s">
        <v>886</v>
      </c>
      <c r="J1525" s="6" t="s">
        <v>24</v>
      </c>
      <c r="K1525" s="6"/>
      <c r="L1525" s="7">
        <v>45530</v>
      </c>
      <c r="M1525" s="6" t="s">
        <v>25</v>
      </c>
      <c r="N1525" s="8" t="s">
        <v>4833</v>
      </c>
      <c r="O1525" s="6">
        <f>HYPERLINK("https://docs.wto.org/imrd/directdoc.asp?DDFDocuments/t/G/TBTN24/BDI486.DOCX", "https://docs.wto.org/imrd/directdoc.asp?DDFDocuments/t/G/TBTN24/BDI486.DOCX")</f>
      </c>
      <c r="P1525" s="6"/>
      <c r="Q1525" s="6"/>
    </row>
    <row r="1526">
      <c r="A1526" s="6" t="s">
        <v>2030</v>
      </c>
      <c r="B1526" s="7">
        <v>45470</v>
      </c>
      <c r="C1526" s="6">
        <f>HYPERLINK("https://eping.wto.org/en/Search?viewData= G/TBT/N/BDI/485, G/TBT/N/KEN/1633, G/TBT/N/RWA/1034, G/TBT/N/TZA/1142, G/TBT/N/UGA/1952"," G/TBT/N/BDI/485, G/TBT/N/KEN/1633, G/TBT/N/RWA/1034, G/TBT/N/TZA/1142, G/TBT/N/UGA/1952")</f>
      </c>
      <c r="D1526" s="8" t="s">
        <v>4834</v>
      </c>
      <c r="E1526" s="8" t="s">
        <v>4835</v>
      </c>
      <c r="F1526" s="8" t="s">
        <v>4836</v>
      </c>
      <c r="G1526" s="6" t="s">
        <v>4837</v>
      </c>
      <c r="H1526" s="6" t="s">
        <v>2022</v>
      </c>
      <c r="I1526" s="6" t="s">
        <v>886</v>
      </c>
      <c r="J1526" s="6" t="s">
        <v>24</v>
      </c>
      <c r="K1526" s="6"/>
      <c r="L1526" s="7">
        <v>45530</v>
      </c>
      <c r="M1526" s="6" t="s">
        <v>25</v>
      </c>
      <c r="N1526" s="8" t="s">
        <v>4838</v>
      </c>
      <c r="O1526" s="6">
        <f>HYPERLINK("https://docs.wto.org/imrd/directdoc.asp?DDFDocuments/t/G/TBTN24/BDI485.DOCX", "https://docs.wto.org/imrd/directdoc.asp?DDFDocuments/t/G/TBTN24/BDI485.DOCX")</f>
      </c>
      <c r="P1526" s="6">
        <f>HYPERLINK("https://docs.wto.org/imrd/directdoc.asp?DDFDocuments/u/G/TBTN24/BDI485.DOCX", "https://docs.wto.org/imrd/directdoc.asp?DDFDocuments/u/G/TBTN24/BDI485.DOCX")</f>
      </c>
      <c r="Q1526" s="6">
        <f>HYPERLINK("https://docs.wto.org/imrd/directdoc.asp?DDFDocuments/v/G/TBTN24/BDI485.DOCX", "https://docs.wto.org/imrd/directdoc.asp?DDFDocuments/v/G/TBTN24/BDI485.DOCX")</f>
      </c>
    </row>
    <row r="1527">
      <c r="A1527" s="6" t="s">
        <v>344</v>
      </c>
      <c r="B1527" s="7">
        <v>45470</v>
      </c>
      <c r="C1527" s="6">
        <f>HYPERLINK("https://eping.wto.org/en/Search?viewData= G/SPS/N/ARE/281, G/SPS/N/BHR/238, G/SPS/N/KWT/145, G/SPS/N/OMN/133, G/SPS/N/QAT/137, G/SPS/N/SAU/533, G/SPS/N/YEM/78"," G/SPS/N/ARE/281, G/SPS/N/BHR/238, G/SPS/N/KWT/145, G/SPS/N/OMN/133, G/SPS/N/QAT/137, G/SPS/N/SAU/533, G/SPS/N/YEM/78")</f>
      </c>
      <c r="D1527" s="8" t="s">
        <v>4839</v>
      </c>
      <c r="E1527" s="8" t="s">
        <v>4840</v>
      </c>
      <c r="F1527" s="8" t="s">
        <v>4841</v>
      </c>
      <c r="G1527" s="6" t="s">
        <v>44</v>
      </c>
      <c r="H1527" s="6" t="s">
        <v>37</v>
      </c>
      <c r="I1527" s="6" t="s">
        <v>38</v>
      </c>
      <c r="J1527" s="6" t="s">
        <v>39</v>
      </c>
      <c r="K1527" s="6" t="s">
        <v>40</v>
      </c>
      <c r="L1527" s="7">
        <v>45530</v>
      </c>
      <c r="M1527" s="6" t="s">
        <v>25</v>
      </c>
      <c r="N1527" s="8" t="s">
        <v>4842</v>
      </c>
      <c r="O1527" s="6">
        <f>HYPERLINK("https://docs.wto.org/imrd/directdoc.asp?DDFDocuments/t/G/SPS/NARE281.DOCX", "https://docs.wto.org/imrd/directdoc.asp?DDFDocuments/t/G/SPS/NARE281.DOCX")</f>
      </c>
      <c r="P1527" s="6">
        <f>HYPERLINK("https://docs.wto.org/imrd/directdoc.asp?DDFDocuments/u/G/SPS/NARE281.DOCX", "https://docs.wto.org/imrd/directdoc.asp?DDFDocuments/u/G/SPS/NARE281.DOCX")</f>
      </c>
      <c r="Q1527" s="6">
        <f>HYPERLINK("https://docs.wto.org/imrd/directdoc.asp?DDFDocuments/v/G/SPS/NARE281.DOCX", "https://docs.wto.org/imrd/directdoc.asp?DDFDocuments/v/G/SPS/NARE281.DOCX")</f>
      </c>
    </row>
    <row r="1528">
      <c r="A1528" s="6" t="s">
        <v>2041</v>
      </c>
      <c r="B1528" s="7">
        <v>45470</v>
      </c>
      <c r="C1528" s="6">
        <f>HYPERLINK("https://eping.wto.org/en/Search?viewData= G/TBT/N/BDI/485, G/TBT/N/KEN/1633, G/TBT/N/RWA/1034, G/TBT/N/TZA/1142, G/TBT/N/UGA/1952"," G/TBT/N/BDI/485, G/TBT/N/KEN/1633, G/TBT/N/RWA/1034, G/TBT/N/TZA/1142, G/TBT/N/UGA/1952")</f>
      </c>
      <c r="D1528" s="8" t="s">
        <v>4834</v>
      </c>
      <c r="E1528" s="8" t="s">
        <v>4835</v>
      </c>
      <c r="F1528" s="8" t="s">
        <v>4836</v>
      </c>
      <c r="G1528" s="6" t="s">
        <v>4837</v>
      </c>
      <c r="H1528" s="6" t="s">
        <v>2022</v>
      </c>
      <c r="I1528" s="6" t="s">
        <v>886</v>
      </c>
      <c r="J1528" s="6" t="s">
        <v>24</v>
      </c>
      <c r="K1528" s="6"/>
      <c r="L1528" s="7">
        <v>45530</v>
      </c>
      <c r="M1528" s="6" t="s">
        <v>25</v>
      </c>
      <c r="N1528" s="8" t="s">
        <v>4838</v>
      </c>
      <c r="O1528" s="6">
        <f>HYPERLINK("https://docs.wto.org/imrd/directdoc.asp?DDFDocuments/t/G/TBTN24/BDI485.DOCX", "https://docs.wto.org/imrd/directdoc.asp?DDFDocuments/t/G/TBTN24/BDI485.DOCX")</f>
      </c>
      <c r="P1528" s="6">
        <f>HYPERLINK("https://docs.wto.org/imrd/directdoc.asp?DDFDocuments/u/G/TBTN24/BDI485.DOCX", "https://docs.wto.org/imrd/directdoc.asp?DDFDocuments/u/G/TBTN24/BDI485.DOCX")</f>
      </c>
      <c r="Q1528" s="6">
        <f>HYPERLINK("https://docs.wto.org/imrd/directdoc.asp?DDFDocuments/v/G/TBTN24/BDI485.DOCX", "https://docs.wto.org/imrd/directdoc.asp?DDFDocuments/v/G/TBTN24/BDI485.DOCX")</f>
      </c>
    </row>
    <row r="1529">
      <c r="A1529" s="6" t="s">
        <v>17</v>
      </c>
      <c r="B1529" s="7">
        <v>45470</v>
      </c>
      <c r="C1529" s="6">
        <f>HYPERLINK("https://eping.wto.org/en/Search?viewData= G/TBT/N/BDI/490, G/TBT/N/KEN/1638, G/TBT/N/RWA/1039, G/TBT/N/TZA/1147, G/TBT/N/UGA/1957"," G/TBT/N/BDI/490, G/TBT/N/KEN/1638, G/TBT/N/RWA/1039, G/TBT/N/TZA/1147, G/TBT/N/UGA/1957")</f>
      </c>
      <c r="D1529" s="8" t="s">
        <v>4843</v>
      </c>
      <c r="E1529" s="8" t="s">
        <v>4844</v>
      </c>
      <c r="F1529" s="8" t="s">
        <v>4845</v>
      </c>
      <c r="G1529" s="6" t="s">
        <v>4846</v>
      </c>
      <c r="H1529" s="6" t="s">
        <v>2022</v>
      </c>
      <c r="I1529" s="6" t="s">
        <v>886</v>
      </c>
      <c r="J1529" s="6" t="s">
        <v>24</v>
      </c>
      <c r="K1529" s="6"/>
      <c r="L1529" s="7">
        <v>45530</v>
      </c>
      <c r="M1529" s="6" t="s">
        <v>25</v>
      </c>
      <c r="N1529" s="8" t="s">
        <v>4847</v>
      </c>
      <c r="O1529" s="6">
        <f>HYPERLINK("https://docs.wto.org/imrd/directdoc.asp?DDFDocuments/t/G/TBTN24/BDI490.DOCX", "https://docs.wto.org/imrd/directdoc.asp?DDFDocuments/t/G/TBTN24/BDI490.DOCX")</f>
      </c>
      <c r="P1529" s="6">
        <f>HYPERLINK("https://docs.wto.org/imrd/directdoc.asp?DDFDocuments/u/G/TBTN24/BDI490.DOCX", "https://docs.wto.org/imrd/directdoc.asp?DDFDocuments/u/G/TBTN24/BDI490.DOCX")</f>
      </c>
      <c r="Q1529" s="6">
        <f>HYPERLINK("https://docs.wto.org/imrd/directdoc.asp?DDFDocuments/v/G/TBTN24/BDI490.DOCX", "https://docs.wto.org/imrd/directdoc.asp?DDFDocuments/v/G/TBTN24/BDI490.DOCX")</f>
      </c>
    </row>
    <row r="1530">
      <c r="A1530" s="6" t="s">
        <v>515</v>
      </c>
      <c r="B1530" s="7">
        <v>45470</v>
      </c>
      <c r="C1530" s="6">
        <f>HYPERLINK("https://eping.wto.org/en/Search?viewData= G/TBT/N/EU/1072"," G/TBT/N/EU/1072")</f>
      </c>
      <c r="D1530" s="8" t="s">
        <v>4848</v>
      </c>
      <c r="E1530" s="8" t="s">
        <v>4849</v>
      </c>
      <c r="F1530" s="8" t="s">
        <v>4850</v>
      </c>
      <c r="G1530" s="6" t="s">
        <v>4851</v>
      </c>
      <c r="H1530" s="6" t="s">
        <v>4852</v>
      </c>
      <c r="I1530" s="6" t="s">
        <v>147</v>
      </c>
      <c r="J1530" s="6" t="s">
        <v>24</v>
      </c>
      <c r="K1530" s="6"/>
      <c r="L1530" s="7">
        <v>45530</v>
      </c>
      <c r="M1530" s="6" t="s">
        <v>25</v>
      </c>
      <c r="N1530" s="8" t="s">
        <v>4853</v>
      </c>
      <c r="O1530" s="6">
        <f>HYPERLINK("https://docs.wto.org/imrd/directdoc.asp?DDFDocuments/t/G/TBTN24/EU1072.DOCX", "https://docs.wto.org/imrd/directdoc.asp?DDFDocuments/t/G/TBTN24/EU1072.DOCX")</f>
      </c>
      <c r="P1530" s="6">
        <f>HYPERLINK("https://docs.wto.org/imrd/directdoc.asp?DDFDocuments/u/G/TBTN24/EU1072.DOCX", "https://docs.wto.org/imrd/directdoc.asp?DDFDocuments/u/G/TBTN24/EU1072.DOCX")</f>
      </c>
      <c r="Q1530" s="6">
        <f>HYPERLINK("https://docs.wto.org/imrd/directdoc.asp?DDFDocuments/v/G/TBTN24/EU1072.DOCX", "https://docs.wto.org/imrd/directdoc.asp?DDFDocuments/v/G/TBTN24/EU1072.DOCX")</f>
      </c>
    </row>
    <row r="1531">
      <c r="A1531" s="6" t="s">
        <v>17</v>
      </c>
      <c r="B1531" s="7">
        <v>45470</v>
      </c>
      <c r="C1531" s="6">
        <f>HYPERLINK("https://eping.wto.org/en/Search?viewData= G/TBT/N/BDI/486, G/TBT/N/KEN/1634, G/TBT/N/RWA/1035, G/TBT/N/TZA/1143, G/TBT/N/UGA/1953"," G/TBT/N/BDI/486, G/TBT/N/KEN/1634, G/TBT/N/RWA/1035, G/TBT/N/TZA/1143, G/TBT/N/UGA/1953")</f>
      </c>
      <c r="D1531" s="8" t="s">
        <v>4829</v>
      </c>
      <c r="E1531" s="8" t="s">
        <v>4830</v>
      </c>
      <c r="F1531" s="8" t="s">
        <v>4831</v>
      </c>
      <c r="G1531" s="6" t="s">
        <v>4832</v>
      </c>
      <c r="H1531" s="6" t="s">
        <v>2022</v>
      </c>
      <c r="I1531" s="6" t="s">
        <v>886</v>
      </c>
      <c r="J1531" s="6" t="s">
        <v>24</v>
      </c>
      <c r="K1531" s="6"/>
      <c r="L1531" s="7">
        <v>45530</v>
      </c>
      <c r="M1531" s="6" t="s">
        <v>25</v>
      </c>
      <c r="N1531" s="8" t="s">
        <v>4833</v>
      </c>
      <c r="O1531" s="6">
        <f>HYPERLINK("https://docs.wto.org/imrd/directdoc.asp?DDFDocuments/t/G/TBTN24/BDI486.DOCX", "https://docs.wto.org/imrd/directdoc.asp?DDFDocuments/t/G/TBTN24/BDI486.DOCX")</f>
      </c>
      <c r="P1531" s="6"/>
      <c r="Q1531" s="6"/>
    </row>
    <row r="1532">
      <c r="A1532" s="6" t="s">
        <v>343</v>
      </c>
      <c r="B1532" s="7">
        <v>45470</v>
      </c>
      <c r="C1532" s="6">
        <f>HYPERLINK("https://eping.wto.org/en/Search?viewData= G/SPS/N/ARE/281, G/SPS/N/BHR/238, G/SPS/N/KWT/145, G/SPS/N/OMN/133, G/SPS/N/QAT/137, G/SPS/N/SAU/533, G/SPS/N/YEM/78"," G/SPS/N/ARE/281, G/SPS/N/BHR/238, G/SPS/N/KWT/145, G/SPS/N/OMN/133, G/SPS/N/QAT/137, G/SPS/N/SAU/533, G/SPS/N/YEM/78")</f>
      </c>
      <c r="D1532" s="8" t="s">
        <v>4839</v>
      </c>
      <c r="E1532" s="8" t="s">
        <v>4840</v>
      </c>
      <c r="F1532" s="8" t="s">
        <v>4841</v>
      </c>
      <c r="G1532" s="6" t="s">
        <v>44</v>
      </c>
      <c r="H1532" s="6" t="s">
        <v>37</v>
      </c>
      <c r="I1532" s="6" t="s">
        <v>38</v>
      </c>
      <c r="J1532" s="6" t="s">
        <v>39</v>
      </c>
      <c r="K1532" s="6" t="s">
        <v>40</v>
      </c>
      <c r="L1532" s="7">
        <v>45530</v>
      </c>
      <c r="M1532" s="6" t="s">
        <v>25</v>
      </c>
      <c r="N1532" s="8" t="s">
        <v>4842</v>
      </c>
      <c r="O1532" s="6">
        <f>HYPERLINK("https://docs.wto.org/imrd/directdoc.asp?DDFDocuments/t/G/SPS/NARE281.DOCX", "https://docs.wto.org/imrd/directdoc.asp?DDFDocuments/t/G/SPS/NARE281.DOCX")</f>
      </c>
      <c r="P1532" s="6">
        <f>HYPERLINK("https://docs.wto.org/imrd/directdoc.asp?DDFDocuments/u/G/SPS/NARE281.DOCX", "https://docs.wto.org/imrd/directdoc.asp?DDFDocuments/u/G/SPS/NARE281.DOCX")</f>
      </c>
      <c r="Q1532" s="6">
        <f>HYPERLINK("https://docs.wto.org/imrd/directdoc.asp?DDFDocuments/v/G/SPS/NARE281.DOCX", "https://docs.wto.org/imrd/directdoc.asp?DDFDocuments/v/G/SPS/NARE281.DOCX")</f>
      </c>
    </row>
    <row r="1533">
      <c r="A1533" s="6" t="s">
        <v>2024</v>
      </c>
      <c r="B1533" s="7">
        <v>45470</v>
      </c>
      <c r="C1533" s="6">
        <f>HYPERLINK("https://eping.wto.org/en/Search?viewData= G/TBT/N/BDI/490, G/TBT/N/KEN/1638, G/TBT/N/RWA/1039, G/TBT/N/TZA/1147, G/TBT/N/UGA/1957"," G/TBT/N/BDI/490, G/TBT/N/KEN/1638, G/TBT/N/RWA/1039, G/TBT/N/TZA/1147, G/TBT/N/UGA/1957")</f>
      </c>
      <c r="D1533" s="8" t="s">
        <v>4843</v>
      </c>
      <c r="E1533" s="8" t="s">
        <v>4844</v>
      </c>
      <c r="F1533" s="8" t="s">
        <v>4845</v>
      </c>
      <c r="G1533" s="6" t="s">
        <v>4846</v>
      </c>
      <c r="H1533" s="6" t="s">
        <v>2022</v>
      </c>
      <c r="I1533" s="6" t="s">
        <v>886</v>
      </c>
      <c r="J1533" s="6" t="s">
        <v>24</v>
      </c>
      <c r="K1533" s="6"/>
      <c r="L1533" s="7">
        <v>45530</v>
      </c>
      <c r="M1533" s="6" t="s">
        <v>25</v>
      </c>
      <c r="N1533" s="8" t="s">
        <v>4847</v>
      </c>
      <c r="O1533" s="6">
        <f>HYPERLINK("https://docs.wto.org/imrd/directdoc.asp?DDFDocuments/t/G/TBTN24/BDI490.DOCX", "https://docs.wto.org/imrd/directdoc.asp?DDFDocuments/t/G/TBTN24/BDI490.DOCX")</f>
      </c>
      <c r="P1533" s="6">
        <f>HYPERLINK("https://docs.wto.org/imrd/directdoc.asp?DDFDocuments/u/G/TBTN24/BDI490.DOCX", "https://docs.wto.org/imrd/directdoc.asp?DDFDocuments/u/G/TBTN24/BDI490.DOCX")</f>
      </c>
      <c r="Q1533" s="6">
        <f>HYPERLINK("https://docs.wto.org/imrd/directdoc.asp?DDFDocuments/v/G/TBTN24/BDI490.DOCX", "https://docs.wto.org/imrd/directdoc.asp?DDFDocuments/v/G/TBTN24/BDI490.DOCX")</f>
      </c>
    </row>
    <row r="1534">
      <c r="A1534" s="6" t="s">
        <v>160</v>
      </c>
      <c r="B1534" s="7">
        <v>45470</v>
      </c>
      <c r="C1534" s="6">
        <f>HYPERLINK("https://eping.wto.org/en/Search?viewData= G/TBT/N/USA/1954/Rev.1"," G/TBT/N/USA/1954/Rev.1")</f>
      </c>
      <c r="D1534" s="8" t="s">
        <v>4854</v>
      </c>
      <c r="E1534" s="8" t="s">
        <v>4855</v>
      </c>
      <c r="F1534" s="8" t="s">
        <v>1955</v>
      </c>
      <c r="G1534" s="6" t="s">
        <v>40</v>
      </c>
      <c r="H1534" s="6" t="s">
        <v>4856</v>
      </c>
      <c r="I1534" s="6" t="s">
        <v>1957</v>
      </c>
      <c r="J1534" s="6" t="s">
        <v>40</v>
      </c>
      <c r="K1534" s="6"/>
      <c r="L1534" s="7">
        <v>45499</v>
      </c>
      <c r="M1534" s="6" t="s">
        <v>214</v>
      </c>
      <c r="N1534" s="8" t="s">
        <v>4857</v>
      </c>
      <c r="O1534" s="6">
        <f>HYPERLINK("https://docs.wto.org/imrd/directdoc.asp?DDFDocuments/t/G/TBTN22/USA1954R1.DOCX", "https://docs.wto.org/imrd/directdoc.asp?DDFDocuments/t/G/TBTN22/USA1954R1.DOCX")</f>
      </c>
      <c r="P1534" s="6">
        <f>HYPERLINK("https://docs.wto.org/imrd/directdoc.asp?DDFDocuments/u/G/TBTN22/USA1954R1.DOCX", "https://docs.wto.org/imrd/directdoc.asp?DDFDocuments/u/G/TBTN22/USA1954R1.DOCX")</f>
      </c>
      <c r="Q1534" s="6">
        <f>HYPERLINK("https://docs.wto.org/imrd/directdoc.asp?DDFDocuments/v/G/TBTN22/USA1954R1.DOCX", "https://docs.wto.org/imrd/directdoc.asp?DDFDocuments/v/G/TBTN22/USA1954R1.DOCX")</f>
      </c>
    </row>
    <row r="1535">
      <c r="A1535" s="6" t="s">
        <v>392</v>
      </c>
      <c r="B1535" s="7">
        <v>45470</v>
      </c>
      <c r="C1535" s="6">
        <f>HYPERLINK("https://eping.wto.org/en/Search?viewData= G/SPS/N/ARE/281, G/SPS/N/BHR/238, G/SPS/N/KWT/145, G/SPS/N/OMN/133, G/SPS/N/QAT/137, G/SPS/N/SAU/533, G/SPS/N/YEM/78"," G/SPS/N/ARE/281, G/SPS/N/BHR/238, G/SPS/N/KWT/145, G/SPS/N/OMN/133, G/SPS/N/QAT/137, G/SPS/N/SAU/533, G/SPS/N/YEM/78")</f>
      </c>
      <c r="D1535" s="8" t="s">
        <v>4839</v>
      </c>
      <c r="E1535" s="8" t="s">
        <v>4840</v>
      </c>
      <c r="F1535" s="8" t="s">
        <v>4841</v>
      </c>
      <c r="G1535" s="6" t="s">
        <v>44</v>
      </c>
      <c r="H1535" s="6" t="s">
        <v>37</v>
      </c>
      <c r="I1535" s="6" t="s">
        <v>38</v>
      </c>
      <c r="J1535" s="6" t="s">
        <v>60</v>
      </c>
      <c r="K1535" s="6" t="s">
        <v>40</v>
      </c>
      <c r="L1535" s="7">
        <v>45530</v>
      </c>
      <c r="M1535" s="6" t="s">
        <v>25</v>
      </c>
      <c r="N1535" s="8" t="s">
        <v>4842</v>
      </c>
      <c r="O1535" s="6">
        <f>HYPERLINK("https://docs.wto.org/imrd/directdoc.asp?DDFDocuments/t/G/SPS/NARE281.DOCX", "https://docs.wto.org/imrd/directdoc.asp?DDFDocuments/t/G/SPS/NARE281.DOCX")</f>
      </c>
      <c r="P1535" s="6">
        <f>HYPERLINK("https://docs.wto.org/imrd/directdoc.asp?DDFDocuments/u/G/SPS/NARE281.DOCX", "https://docs.wto.org/imrd/directdoc.asp?DDFDocuments/u/G/SPS/NARE281.DOCX")</f>
      </c>
      <c r="Q1535" s="6">
        <f>HYPERLINK("https://docs.wto.org/imrd/directdoc.asp?DDFDocuments/v/G/SPS/NARE281.DOCX", "https://docs.wto.org/imrd/directdoc.asp?DDFDocuments/v/G/SPS/NARE281.DOCX")</f>
      </c>
    </row>
    <row r="1536">
      <c r="A1536" s="6" t="s">
        <v>401</v>
      </c>
      <c r="B1536" s="7">
        <v>45470</v>
      </c>
      <c r="C1536" s="6">
        <f>HYPERLINK("https://eping.wto.org/en/Search?viewData= G/SPS/N/KOR/803"," G/SPS/N/KOR/803")</f>
      </c>
      <c r="D1536" s="8" t="s">
        <v>4858</v>
      </c>
      <c r="E1536" s="8" t="s">
        <v>4859</v>
      </c>
      <c r="F1536" s="8" t="s">
        <v>422</v>
      </c>
      <c r="G1536" s="6" t="s">
        <v>40</v>
      </c>
      <c r="H1536" s="6" t="s">
        <v>40</v>
      </c>
      <c r="I1536" s="6" t="s">
        <v>38</v>
      </c>
      <c r="J1536" s="6" t="s">
        <v>39</v>
      </c>
      <c r="K1536" s="6" t="s">
        <v>40</v>
      </c>
      <c r="L1536" s="7">
        <v>45530</v>
      </c>
      <c r="M1536" s="6" t="s">
        <v>25</v>
      </c>
      <c r="N1536" s="8" t="s">
        <v>4860</v>
      </c>
      <c r="O1536" s="6">
        <f>HYPERLINK("https://docs.wto.org/imrd/directdoc.asp?DDFDocuments/t/G/SPS/NKOR803.DOCX", "https://docs.wto.org/imrd/directdoc.asp?DDFDocuments/t/G/SPS/NKOR803.DOCX")</f>
      </c>
      <c r="P1536" s="6">
        <f>HYPERLINK("https://docs.wto.org/imrd/directdoc.asp?DDFDocuments/u/G/SPS/NKOR803.DOCX", "https://docs.wto.org/imrd/directdoc.asp?DDFDocuments/u/G/SPS/NKOR803.DOCX")</f>
      </c>
      <c r="Q1536" s="6">
        <f>HYPERLINK("https://docs.wto.org/imrd/directdoc.asp?DDFDocuments/v/G/SPS/NKOR803.DOCX", "https://docs.wto.org/imrd/directdoc.asp?DDFDocuments/v/G/SPS/NKOR803.DOCX")</f>
      </c>
    </row>
    <row r="1537">
      <c r="A1537" s="6" t="s">
        <v>373</v>
      </c>
      <c r="B1537" s="7">
        <v>45470</v>
      </c>
      <c r="C1537" s="6">
        <f>HYPERLINK("https://eping.wto.org/en/Search?viewData= G/TBT/N/ISR/1349"," G/TBT/N/ISR/1349")</f>
      </c>
      <c r="D1537" s="8" t="s">
        <v>4861</v>
      </c>
      <c r="E1537" s="8" t="s">
        <v>4862</v>
      </c>
      <c r="F1537" s="8" t="s">
        <v>4863</v>
      </c>
      <c r="G1537" s="6" t="s">
        <v>4864</v>
      </c>
      <c r="H1537" s="6" t="s">
        <v>4865</v>
      </c>
      <c r="I1537" s="6" t="s">
        <v>4866</v>
      </c>
      <c r="J1537" s="6" t="s">
        <v>40</v>
      </c>
      <c r="K1537" s="6"/>
      <c r="L1537" s="7">
        <v>45530</v>
      </c>
      <c r="M1537" s="6" t="s">
        <v>25</v>
      </c>
      <c r="N1537" s="8" t="s">
        <v>4867</v>
      </c>
      <c r="O1537" s="6">
        <f>HYPERLINK("https://docs.wto.org/imrd/directdoc.asp?DDFDocuments/t/G/TBTN24/ISR1349.DOCX", "https://docs.wto.org/imrd/directdoc.asp?DDFDocuments/t/G/TBTN24/ISR1349.DOCX")</f>
      </c>
      <c r="P1537" s="6">
        <f>HYPERLINK("https://docs.wto.org/imrd/directdoc.asp?DDFDocuments/u/G/TBTN24/ISR1349.DOCX", "https://docs.wto.org/imrd/directdoc.asp?DDFDocuments/u/G/TBTN24/ISR1349.DOCX")</f>
      </c>
      <c r="Q1537" s="6">
        <f>HYPERLINK("https://docs.wto.org/imrd/directdoc.asp?DDFDocuments/v/G/TBTN24/ISR1349.DOCX", "https://docs.wto.org/imrd/directdoc.asp?DDFDocuments/v/G/TBTN24/ISR1349.DOCX")</f>
      </c>
    </row>
    <row r="1538">
      <c r="A1538" s="6" t="s">
        <v>2024</v>
      </c>
      <c r="B1538" s="7">
        <v>45470</v>
      </c>
      <c r="C1538" s="6">
        <f>HYPERLINK("https://eping.wto.org/en/Search?viewData= G/TBT/N/BDI/485, G/TBT/N/KEN/1633, G/TBT/N/RWA/1034, G/TBT/N/TZA/1142, G/TBT/N/UGA/1952"," G/TBT/N/BDI/485, G/TBT/N/KEN/1633, G/TBT/N/RWA/1034, G/TBT/N/TZA/1142, G/TBT/N/UGA/1952")</f>
      </c>
      <c r="D1538" s="8" t="s">
        <v>4834</v>
      </c>
      <c r="E1538" s="8" t="s">
        <v>4835</v>
      </c>
      <c r="F1538" s="8" t="s">
        <v>4836</v>
      </c>
      <c r="G1538" s="6" t="s">
        <v>4837</v>
      </c>
      <c r="H1538" s="6" t="s">
        <v>2022</v>
      </c>
      <c r="I1538" s="6" t="s">
        <v>886</v>
      </c>
      <c r="J1538" s="6" t="s">
        <v>24</v>
      </c>
      <c r="K1538" s="6"/>
      <c r="L1538" s="7">
        <v>45530</v>
      </c>
      <c r="M1538" s="6" t="s">
        <v>25</v>
      </c>
      <c r="N1538" s="8" t="s">
        <v>4838</v>
      </c>
      <c r="O1538" s="6">
        <f>HYPERLINK("https://docs.wto.org/imrd/directdoc.asp?DDFDocuments/t/G/TBTN24/BDI485.DOCX", "https://docs.wto.org/imrd/directdoc.asp?DDFDocuments/t/G/TBTN24/BDI485.DOCX")</f>
      </c>
      <c r="P1538" s="6">
        <f>HYPERLINK("https://docs.wto.org/imrd/directdoc.asp?DDFDocuments/u/G/TBTN24/BDI485.DOCX", "https://docs.wto.org/imrd/directdoc.asp?DDFDocuments/u/G/TBTN24/BDI485.DOCX")</f>
      </c>
      <c r="Q1538" s="6">
        <f>HYPERLINK("https://docs.wto.org/imrd/directdoc.asp?DDFDocuments/v/G/TBTN24/BDI485.DOCX", "https://docs.wto.org/imrd/directdoc.asp?DDFDocuments/v/G/TBTN24/BDI485.DOCX")</f>
      </c>
    </row>
    <row r="1539">
      <c r="A1539" s="6" t="s">
        <v>2024</v>
      </c>
      <c r="B1539" s="7">
        <v>45470</v>
      </c>
      <c r="C1539" s="6">
        <f>HYPERLINK("https://eping.wto.org/en/Search?viewData= G/TBT/N/BDI/487, G/TBT/N/KEN/1635, G/TBT/N/RWA/1036, G/TBT/N/TZA/1144, G/TBT/N/UGA/1954"," G/TBT/N/BDI/487, G/TBT/N/KEN/1635, G/TBT/N/RWA/1036, G/TBT/N/TZA/1144, G/TBT/N/UGA/1954")</f>
      </c>
      <c r="D1539" s="8" t="s">
        <v>4868</v>
      </c>
      <c r="E1539" s="8" t="s">
        <v>4869</v>
      </c>
      <c r="F1539" s="8" t="s">
        <v>4870</v>
      </c>
      <c r="G1539" s="6" t="s">
        <v>4871</v>
      </c>
      <c r="H1539" s="6" t="s">
        <v>2022</v>
      </c>
      <c r="I1539" s="6" t="s">
        <v>886</v>
      </c>
      <c r="J1539" s="6" t="s">
        <v>24</v>
      </c>
      <c r="K1539" s="6"/>
      <c r="L1539" s="7">
        <v>45530</v>
      </c>
      <c r="M1539" s="6" t="s">
        <v>25</v>
      </c>
      <c r="N1539" s="8" t="s">
        <v>4872</v>
      </c>
      <c r="O1539" s="6">
        <f>HYPERLINK("https://docs.wto.org/imrd/directdoc.asp?DDFDocuments/t/G/TBTN24/BDI487.DOCX", "https://docs.wto.org/imrd/directdoc.asp?DDFDocuments/t/G/TBTN24/BDI487.DOCX")</f>
      </c>
      <c r="P1539" s="6">
        <f>HYPERLINK("https://docs.wto.org/imrd/directdoc.asp?DDFDocuments/u/G/TBTN24/BDI487.DOCX", "https://docs.wto.org/imrd/directdoc.asp?DDFDocuments/u/G/TBTN24/BDI487.DOCX")</f>
      </c>
      <c r="Q1539" s="6">
        <f>HYPERLINK("https://docs.wto.org/imrd/directdoc.asp?DDFDocuments/v/G/TBTN24/BDI487.DOCX", "https://docs.wto.org/imrd/directdoc.asp?DDFDocuments/v/G/TBTN24/BDI487.DOCX")</f>
      </c>
    </row>
    <row r="1540">
      <c r="A1540" s="6" t="s">
        <v>2024</v>
      </c>
      <c r="B1540" s="7">
        <v>45470</v>
      </c>
      <c r="C1540" s="6">
        <f>HYPERLINK("https://eping.wto.org/en/Search?viewData= G/TBT/N/BDI/488, G/TBT/N/KEN/1636, G/TBT/N/RWA/1037, G/TBT/N/TZA/1145, G/TBT/N/UGA/1955"," G/TBT/N/BDI/488, G/TBT/N/KEN/1636, G/TBT/N/RWA/1037, G/TBT/N/TZA/1145, G/TBT/N/UGA/1955")</f>
      </c>
      <c r="D1540" s="8" t="s">
        <v>4873</v>
      </c>
      <c r="E1540" s="8" t="s">
        <v>4874</v>
      </c>
      <c r="F1540" s="8" t="s">
        <v>4875</v>
      </c>
      <c r="G1540" s="6" t="s">
        <v>4876</v>
      </c>
      <c r="H1540" s="6" t="s">
        <v>2022</v>
      </c>
      <c r="I1540" s="6" t="s">
        <v>886</v>
      </c>
      <c r="J1540" s="6" t="s">
        <v>24</v>
      </c>
      <c r="K1540" s="6"/>
      <c r="L1540" s="7">
        <v>45530</v>
      </c>
      <c r="M1540" s="6" t="s">
        <v>25</v>
      </c>
      <c r="N1540" s="8" t="s">
        <v>4877</v>
      </c>
      <c r="O1540" s="6">
        <f>HYPERLINK("https://docs.wto.org/imrd/directdoc.asp?DDFDocuments/t/G/TBTN24/BDI488.DOCX", "https://docs.wto.org/imrd/directdoc.asp?DDFDocuments/t/G/TBTN24/BDI488.DOCX")</f>
      </c>
      <c r="P1540" s="6">
        <f>HYPERLINK("https://docs.wto.org/imrd/directdoc.asp?DDFDocuments/u/G/TBTN24/BDI488.DOCX", "https://docs.wto.org/imrd/directdoc.asp?DDFDocuments/u/G/TBTN24/BDI488.DOCX")</f>
      </c>
      <c r="Q1540" s="6">
        <f>HYPERLINK("https://docs.wto.org/imrd/directdoc.asp?DDFDocuments/v/G/TBTN24/BDI488.DOCX", "https://docs.wto.org/imrd/directdoc.asp?DDFDocuments/v/G/TBTN24/BDI488.DOCX")</f>
      </c>
    </row>
    <row r="1541">
      <c r="A1541" s="6" t="s">
        <v>17</v>
      </c>
      <c r="B1541" s="7">
        <v>45470</v>
      </c>
      <c r="C1541" s="6">
        <f>HYPERLINK("https://eping.wto.org/en/Search?viewData= G/TBT/N/BDI/488, G/TBT/N/KEN/1636, G/TBT/N/RWA/1037, G/TBT/N/TZA/1145, G/TBT/N/UGA/1955"," G/TBT/N/BDI/488, G/TBT/N/KEN/1636, G/TBT/N/RWA/1037, G/TBT/N/TZA/1145, G/TBT/N/UGA/1955")</f>
      </c>
      <c r="D1541" s="8" t="s">
        <v>4873</v>
      </c>
      <c r="E1541" s="8" t="s">
        <v>4874</v>
      </c>
      <c r="F1541" s="8" t="s">
        <v>4875</v>
      </c>
      <c r="G1541" s="6" t="s">
        <v>4876</v>
      </c>
      <c r="H1541" s="6" t="s">
        <v>2022</v>
      </c>
      <c r="I1541" s="6" t="s">
        <v>886</v>
      </c>
      <c r="J1541" s="6" t="s">
        <v>24</v>
      </c>
      <c r="K1541" s="6"/>
      <c r="L1541" s="7">
        <v>45530</v>
      </c>
      <c r="M1541" s="6" t="s">
        <v>25</v>
      </c>
      <c r="N1541" s="8" t="s">
        <v>4877</v>
      </c>
      <c r="O1541" s="6">
        <f>HYPERLINK("https://docs.wto.org/imrd/directdoc.asp?DDFDocuments/t/G/TBTN24/BDI488.DOCX", "https://docs.wto.org/imrd/directdoc.asp?DDFDocuments/t/G/TBTN24/BDI488.DOCX")</f>
      </c>
      <c r="P1541" s="6">
        <f>HYPERLINK("https://docs.wto.org/imrd/directdoc.asp?DDFDocuments/u/G/TBTN24/BDI488.DOCX", "https://docs.wto.org/imrd/directdoc.asp?DDFDocuments/u/G/TBTN24/BDI488.DOCX")</f>
      </c>
      <c r="Q1541" s="6">
        <f>HYPERLINK("https://docs.wto.org/imrd/directdoc.asp?DDFDocuments/v/G/TBTN24/BDI488.DOCX", "https://docs.wto.org/imrd/directdoc.asp?DDFDocuments/v/G/TBTN24/BDI488.DOCX")</f>
      </c>
    </row>
    <row r="1542">
      <c r="A1542" s="6" t="s">
        <v>2041</v>
      </c>
      <c r="B1542" s="7">
        <v>45470</v>
      </c>
      <c r="C1542" s="6">
        <f>HYPERLINK("https://eping.wto.org/en/Search?viewData= G/TBT/N/BDI/489, G/TBT/N/KEN/1637, G/TBT/N/RWA/1038, G/TBT/N/TZA/1146, G/TBT/N/UGA/1956"," G/TBT/N/BDI/489, G/TBT/N/KEN/1637, G/TBT/N/RWA/1038, G/TBT/N/TZA/1146, G/TBT/N/UGA/1956")</f>
      </c>
      <c r="D1542" s="8" t="s">
        <v>4878</v>
      </c>
      <c r="E1542" s="8" t="s">
        <v>4879</v>
      </c>
      <c r="F1542" s="8" t="s">
        <v>4880</v>
      </c>
      <c r="G1542" s="6" t="s">
        <v>4881</v>
      </c>
      <c r="H1542" s="6" t="s">
        <v>2022</v>
      </c>
      <c r="I1542" s="6" t="s">
        <v>886</v>
      </c>
      <c r="J1542" s="6" t="s">
        <v>24</v>
      </c>
      <c r="K1542" s="6"/>
      <c r="L1542" s="7">
        <v>45530</v>
      </c>
      <c r="M1542" s="6" t="s">
        <v>25</v>
      </c>
      <c r="N1542" s="8" t="s">
        <v>4882</v>
      </c>
      <c r="O1542" s="6">
        <f>HYPERLINK("https://docs.wto.org/imrd/directdoc.asp?DDFDocuments/t/G/TBTN24/BDI489.DOCX", "https://docs.wto.org/imrd/directdoc.asp?DDFDocuments/t/G/TBTN24/BDI489.DOCX")</f>
      </c>
      <c r="P1542" s="6">
        <f>HYPERLINK("https://docs.wto.org/imrd/directdoc.asp?DDFDocuments/u/G/TBTN24/BDI489.DOCX", "https://docs.wto.org/imrd/directdoc.asp?DDFDocuments/u/G/TBTN24/BDI489.DOCX")</f>
      </c>
      <c r="Q1542" s="6">
        <f>HYPERLINK("https://docs.wto.org/imrd/directdoc.asp?DDFDocuments/v/G/TBTN24/BDI489.DOCX", "https://docs.wto.org/imrd/directdoc.asp?DDFDocuments/v/G/TBTN24/BDI489.DOCX")</f>
      </c>
    </row>
    <row r="1543">
      <c r="A1543" s="6" t="s">
        <v>2041</v>
      </c>
      <c r="B1543" s="7">
        <v>45470</v>
      </c>
      <c r="C1543" s="6">
        <f>HYPERLINK("https://eping.wto.org/en/Search?viewData= G/TBT/N/BDI/490, G/TBT/N/KEN/1638, G/TBT/N/RWA/1039, G/TBT/N/TZA/1147, G/TBT/N/UGA/1957"," G/TBT/N/BDI/490, G/TBT/N/KEN/1638, G/TBT/N/RWA/1039, G/TBT/N/TZA/1147, G/TBT/N/UGA/1957")</f>
      </c>
      <c r="D1543" s="8" t="s">
        <v>4843</v>
      </c>
      <c r="E1543" s="8" t="s">
        <v>4844</v>
      </c>
      <c r="F1543" s="8" t="s">
        <v>4845</v>
      </c>
      <c r="G1543" s="6" t="s">
        <v>4846</v>
      </c>
      <c r="H1543" s="6" t="s">
        <v>2022</v>
      </c>
      <c r="I1543" s="6" t="s">
        <v>886</v>
      </c>
      <c r="J1543" s="6" t="s">
        <v>24</v>
      </c>
      <c r="K1543" s="6"/>
      <c r="L1543" s="7">
        <v>45530</v>
      </c>
      <c r="M1543" s="6" t="s">
        <v>25</v>
      </c>
      <c r="N1543" s="8" t="s">
        <v>4847</v>
      </c>
      <c r="O1543" s="6">
        <f>HYPERLINK("https://docs.wto.org/imrd/directdoc.asp?DDFDocuments/t/G/TBTN24/BDI490.DOCX", "https://docs.wto.org/imrd/directdoc.asp?DDFDocuments/t/G/TBTN24/BDI490.DOCX")</f>
      </c>
      <c r="P1543" s="6">
        <f>HYPERLINK("https://docs.wto.org/imrd/directdoc.asp?DDFDocuments/u/G/TBTN24/BDI490.DOCX", "https://docs.wto.org/imrd/directdoc.asp?DDFDocuments/u/G/TBTN24/BDI490.DOCX")</f>
      </c>
      <c r="Q1543" s="6">
        <f>HYPERLINK("https://docs.wto.org/imrd/directdoc.asp?DDFDocuments/v/G/TBTN24/BDI490.DOCX", "https://docs.wto.org/imrd/directdoc.asp?DDFDocuments/v/G/TBTN24/BDI490.DOCX")</f>
      </c>
    </row>
    <row r="1544">
      <c r="A1544" s="6" t="s">
        <v>393</v>
      </c>
      <c r="B1544" s="7">
        <v>45470</v>
      </c>
      <c r="C1544" s="6">
        <f>HYPERLINK("https://eping.wto.org/en/Search?viewData= G/SPS/N/ARE/281, G/SPS/N/BHR/238, G/SPS/N/KWT/145, G/SPS/N/OMN/133, G/SPS/N/QAT/137, G/SPS/N/SAU/533, G/SPS/N/YEM/78"," G/SPS/N/ARE/281, G/SPS/N/BHR/238, G/SPS/N/KWT/145, G/SPS/N/OMN/133, G/SPS/N/QAT/137, G/SPS/N/SAU/533, G/SPS/N/YEM/78")</f>
      </c>
      <c r="D1544" s="8" t="s">
        <v>4839</v>
      </c>
      <c r="E1544" s="8" t="s">
        <v>4840</v>
      </c>
      <c r="F1544" s="8" t="s">
        <v>4841</v>
      </c>
      <c r="G1544" s="6" t="s">
        <v>44</v>
      </c>
      <c r="H1544" s="6" t="s">
        <v>37</v>
      </c>
      <c r="I1544" s="6" t="s">
        <v>38</v>
      </c>
      <c r="J1544" s="6" t="s">
        <v>39</v>
      </c>
      <c r="K1544" s="6" t="s">
        <v>40</v>
      </c>
      <c r="L1544" s="7">
        <v>45530</v>
      </c>
      <c r="M1544" s="6" t="s">
        <v>25</v>
      </c>
      <c r="N1544" s="8" t="s">
        <v>4842</v>
      </c>
      <c r="O1544" s="6">
        <f>HYPERLINK("https://docs.wto.org/imrd/directdoc.asp?DDFDocuments/t/G/SPS/NARE281.DOCX", "https://docs.wto.org/imrd/directdoc.asp?DDFDocuments/t/G/SPS/NARE281.DOCX")</f>
      </c>
      <c r="P1544" s="6">
        <f>HYPERLINK("https://docs.wto.org/imrd/directdoc.asp?DDFDocuments/u/G/SPS/NARE281.DOCX", "https://docs.wto.org/imrd/directdoc.asp?DDFDocuments/u/G/SPS/NARE281.DOCX")</f>
      </c>
      <c r="Q1544" s="6">
        <f>HYPERLINK("https://docs.wto.org/imrd/directdoc.asp?DDFDocuments/v/G/SPS/NARE281.DOCX", "https://docs.wto.org/imrd/directdoc.asp?DDFDocuments/v/G/SPS/NARE281.DOCX")</f>
      </c>
    </row>
    <row r="1545">
      <c r="A1545" s="6" t="s">
        <v>160</v>
      </c>
      <c r="B1545" s="7">
        <v>45470</v>
      </c>
      <c r="C1545" s="6">
        <f>HYPERLINK("https://eping.wto.org/en/Search?viewData= G/SPS/N/USA/3203/Add.3"," G/SPS/N/USA/3203/Add.3")</f>
      </c>
      <c r="D1545" s="8" t="s">
        <v>4883</v>
      </c>
      <c r="E1545" s="8" t="s">
        <v>4884</v>
      </c>
      <c r="F1545" s="8" t="s">
        <v>4885</v>
      </c>
      <c r="G1545" s="6" t="s">
        <v>4886</v>
      </c>
      <c r="H1545" s="6" t="s">
        <v>431</v>
      </c>
      <c r="I1545" s="6" t="s">
        <v>38</v>
      </c>
      <c r="J1545" s="6" t="s">
        <v>4887</v>
      </c>
      <c r="K1545" s="6"/>
      <c r="L1545" s="7" t="s">
        <v>40</v>
      </c>
      <c r="M1545" s="6" t="s">
        <v>76</v>
      </c>
      <c r="N1545" s="8" t="s">
        <v>4888</v>
      </c>
      <c r="O1545" s="6">
        <f>HYPERLINK("https://docs.wto.org/imrd/directdoc.asp?DDFDocuments/t/G/SPS/NUSA3203A3.DOCX", "https://docs.wto.org/imrd/directdoc.asp?DDFDocuments/t/G/SPS/NUSA3203A3.DOCX")</f>
      </c>
      <c r="P1545" s="6">
        <f>HYPERLINK("https://docs.wto.org/imrd/directdoc.asp?DDFDocuments/u/G/SPS/NUSA3203A3.DOCX", "https://docs.wto.org/imrd/directdoc.asp?DDFDocuments/u/G/SPS/NUSA3203A3.DOCX")</f>
      </c>
      <c r="Q1545" s="6">
        <f>HYPERLINK("https://docs.wto.org/imrd/directdoc.asp?DDFDocuments/v/G/SPS/NUSA3203A3.DOCX", "https://docs.wto.org/imrd/directdoc.asp?DDFDocuments/v/G/SPS/NUSA3203A3.DOCX")</f>
      </c>
    </row>
    <row r="1546">
      <c r="A1546" s="6" t="s">
        <v>17</v>
      </c>
      <c r="B1546" s="7">
        <v>45470</v>
      </c>
      <c r="C1546" s="6">
        <f>HYPERLINK("https://eping.wto.org/en/Search?viewData= G/TBT/N/BDI/485, G/TBT/N/KEN/1633, G/TBT/N/RWA/1034, G/TBT/N/TZA/1142, G/TBT/N/UGA/1952"," G/TBT/N/BDI/485, G/TBT/N/KEN/1633, G/TBT/N/RWA/1034, G/TBT/N/TZA/1142, G/TBT/N/UGA/1952")</f>
      </c>
      <c r="D1546" s="8" t="s">
        <v>4834</v>
      </c>
      <c r="E1546" s="8" t="s">
        <v>4835</v>
      </c>
      <c r="F1546" s="8" t="s">
        <v>4836</v>
      </c>
      <c r="G1546" s="6" t="s">
        <v>4837</v>
      </c>
      <c r="H1546" s="6" t="s">
        <v>2022</v>
      </c>
      <c r="I1546" s="6" t="s">
        <v>886</v>
      </c>
      <c r="J1546" s="6" t="s">
        <v>24</v>
      </c>
      <c r="K1546" s="6"/>
      <c r="L1546" s="7">
        <v>45530</v>
      </c>
      <c r="M1546" s="6" t="s">
        <v>25</v>
      </c>
      <c r="N1546" s="8" t="s">
        <v>4838</v>
      </c>
      <c r="O1546" s="6">
        <f>HYPERLINK("https://docs.wto.org/imrd/directdoc.asp?DDFDocuments/t/G/TBTN24/BDI485.DOCX", "https://docs.wto.org/imrd/directdoc.asp?DDFDocuments/t/G/TBTN24/BDI485.DOCX")</f>
      </c>
      <c r="P1546" s="6">
        <f>HYPERLINK("https://docs.wto.org/imrd/directdoc.asp?DDFDocuments/u/G/TBTN24/BDI485.DOCX", "https://docs.wto.org/imrd/directdoc.asp?DDFDocuments/u/G/TBTN24/BDI485.DOCX")</f>
      </c>
      <c r="Q1546" s="6">
        <f>HYPERLINK("https://docs.wto.org/imrd/directdoc.asp?DDFDocuments/v/G/TBTN24/BDI485.DOCX", "https://docs.wto.org/imrd/directdoc.asp?DDFDocuments/v/G/TBTN24/BDI485.DOCX")</f>
      </c>
    </row>
    <row r="1547">
      <c r="A1547" s="6" t="s">
        <v>331</v>
      </c>
      <c r="B1547" s="7">
        <v>45470</v>
      </c>
      <c r="C1547" s="6">
        <f>HYPERLINK("https://eping.wto.org/en/Search?viewData= G/SPS/N/ARE/281, G/SPS/N/BHR/238, G/SPS/N/KWT/145, G/SPS/N/OMN/133, G/SPS/N/QAT/137, G/SPS/N/SAU/533, G/SPS/N/YEM/78"," G/SPS/N/ARE/281, G/SPS/N/BHR/238, G/SPS/N/KWT/145, G/SPS/N/OMN/133, G/SPS/N/QAT/137, G/SPS/N/SAU/533, G/SPS/N/YEM/78")</f>
      </c>
      <c r="D1547" s="8" t="s">
        <v>4839</v>
      </c>
      <c r="E1547" s="8" t="s">
        <v>4840</v>
      </c>
      <c r="F1547" s="8" t="s">
        <v>4841</v>
      </c>
      <c r="G1547" s="6" t="s">
        <v>44</v>
      </c>
      <c r="H1547" s="6" t="s">
        <v>37</v>
      </c>
      <c r="I1547" s="6" t="s">
        <v>38</v>
      </c>
      <c r="J1547" s="6" t="s">
        <v>39</v>
      </c>
      <c r="K1547" s="6" t="s">
        <v>40</v>
      </c>
      <c r="L1547" s="7">
        <v>45530</v>
      </c>
      <c r="M1547" s="6" t="s">
        <v>25</v>
      </c>
      <c r="N1547" s="8" t="s">
        <v>4842</v>
      </c>
      <c r="O1547" s="6">
        <f>HYPERLINK("https://docs.wto.org/imrd/directdoc.asp?DDFDocuments/t/G/SPS/NARE281.DOCX", "https://docs.wto.org/imrd/directdoc.asp?DDFDocuments/t/G/SPS/NARE281.DOCX")</f>
      </c>
      <c r="P1547" s="6">
        <f>HYPERLINK("https://docs.wto.org/imrd/directdoc.asp?DDFDocuments/u/G/SPS/NARE281.DOCX", "https://docs.wto.org/imrd/directdoc.asp?DDFDocuments/u/G/SPS/NARE281.DOCX")</f>
      </c>
      <c r="Q1547" s="6">
        <f>HYPERLINK("https://docs.wto.org/imrd/directdoc.asp?DDFDocuments/v/G/SPS/NARE281.DOCX", "https://docs.wto.org/imrd/directdoc.asp?DDFDocuments/v/G/SPS/NARE281.DOCX")</f>
      </c>
    </row>
    <row r="1548">
      <c r="A1548" s="6" t="s">
        <v>880</v>
      </c>
      <c r="B1548" s="7">
        <v>45470</v>
      </c>
      <c r="C1548" s="6">
        <f>HYPERLINK("https://eping.wto.org/en/Search?viewData= G/TBT/N/BDI/490, G/TBT/N/KEN/1638, G/TBT/N/RWA/1039, G/TBT/N/TZA/1147, G/TBT/N/UGA/1957"," G/TBT/N/BDI/490, G/TBT/N/KEN/1638, G/TBT/N/RWA/1039, G/TBT/N/TZA/1147, G/TBT/N/UGA/1957")</f>
      </c>
      <c r="D1548" s="8" t="s">
        <v>4843</v>
      </c>
      <c r="E1548" s="8" t="s">
        <v>4844</v>
      </c>
      <c r="F1548" s="8" t="s">
        <v>4845</v>
      </c>
      <c r="G1548" s="6" t="s">
        <v>4846</v>
      </c>
      <c r="H1548" s="6" t="s">
        <v>2022</v>
      </c>
      <c r="I1548" s="6" t="s">
        <v>886</v>
      </c>
      <c r="J1548" s="6" t="s">
        <v>24</v>
      </c>
      <c r="K1548" s="6"/>
      <c r="L1548" s="7">
        <v>45530</v>
      </c>
      <c r="M1548" s="6" t="s">
        <v>25</v>
      </c>
      <c r="N1548" s="8" t="s">
        <v>4847</v>
      </c>
      <c r="O1548" s="6">
        <f>HYPERLINK("https://docs.wto.org/imrd/directdoc.asp?DDFDocuments/t/G/TBTN24/BDI490.DOCX", "https://docs.wto.org/imrd/directdoc.asp?DDFDocuments/t/G/TBTN24/BDI490.DOCX")</f>
      </c>
      <c r="P1548" s="6">
        <f>HYPERLINK("https://docs.wto.org/imrd/directdoc.asp?DDFDocuments/u/G/TBTN24/BDI490.DOCX", "https://docs.wto.org/imrd/directdoc.asp?DDFDocuments/u/G/TBTN24/BDI490.DOCX")</f>
      </c>
      <c r="Q1548" s="6">
        <f>HYPERLINK("https://docs.wto.org/imrd/directdoc.asp?DDFDocuments/v/G/TBTN24/BDI490.DOCX", "https://docs.wto.org/imrd/directdoc.asp?DDFDocuments/v/G/TBTN24/BDI490.DOCX")</f>
      </c>
    </row>
    <row r="1549">
      <c r="A1549" s="6" t="s">
        <v>515</v>
      </c>
      <c r="B1549" s="7">
        <v>45470</v>
      </c>
      <c r="C1549" s="6">
        <f>HYPERLINK("https://eping.wto.org/en/Search?viewData= G/SPS/N/EU/776"," G/SPS/N/EU/776")</f>
      </c>
      <c r="D1549" s="8" t="s">
        <v>4889</v>
      </c>
      <c r="E1549" s="8" t="s">
        <v>4890</v>
      </c>
      <c r="F1549" s="8" t="s">
        <v>1667</v>
      </c>
      <c r="G1549" s="6" t="s">
        <v>1033</v>
      </c>
      <c r="H1549" s="6" t="s">
        <v>40</v>
      </c>
      <c r="I1549" s="6" t="s">
        <v>791</v>
      </c>
      <c r="J1549" s="6" t="s">
        <v>792</v>
      </c>
      <c r="K1549" s="6"/>
      <c r="L1549" s="7" t="s">
        <v>40</v>
      </c>
      <c r="M1549" s="6" t="s">
        <v>25</v>
      </c>
      <c r="N1549" s="8" t="s">
        <v>4891</v>
      </c>
      <c r="O1549" s="6">
        <f>HYPERLINK("https://docs.wto.org/imrd/directdoc.asp?DDFDocuments/t/G/SPS/NEU776.DOCX", "https://docs.wto.org/imrd/directdoc.asp?DDFDocuments/t/G/SPS/NEU776.DOCX")</f>
      </c>
      <c r="P1549" s="6">
        <f>HYPERLINK("https://docs.wto.org/imrd/directdoc.asp?DDFDocuments/u/G/SPS/NEU776.DOCX", "https://docs.wto.org/imrd/directdoc.asp?DDFDocuments/u/G/SPS/NEU776.DOCX")</f>
      </c>
      <c r="Q1549" s="6">
        <f>HYPERLINK("https://docs.wto.org/imrd/directdoc.asp?DDFDocuments/v/G/SPS/NEU776.DOCX", "https://docs.wto.org/imrd/directdoc.asp?DDFDocuments/v/G/SPS/NEU776.DOCX")</f>
      </c>
    </row>
    <row r="1550">
      <c r="A1550" s="6" t="s">
        <v>2030</v>
      </c>
      <c r="B1550" s="7">
        <v>45470</v>
      </c>
      <c r="C1550" s="6">
        <f>HYPERLINK("https://eping.wto.org/en/Search?viewData= G/TBT/N/BDI/486, G/TBT/N/KEN/1634, G/TBT/N/RWA/1035, G/TBT/N/TZA/1143, G/TBT/N/UGA/1953"," G/TBT/N/BDI/486, G/TBT/N/KEN/1634, G/TBT/N/RWA/1035, G/TBT/N/TZA/1143, G/TBT/N/UGA/1953")</f>
      </c>
      <c r="D1550" s="8" t="s">
        <v>4829</v>
      </c>
      <c r="E1550" s="8" t="s">
        <v>4830</v>
      </c>
      <c r="F1550" s="8" t="s">
        <v>4831</v>
      </c>
      <c r="G1550" s="6" t="s">
        <v>4832</v>
      </c>
      <c r="H1550" s="6" t="s">
        <v>2022</v>
      </c>
      <c r="I1550" s="6" t="s">
        <v>886</v>
      </c>
      <c r="J1550" s="6" t="s">
        <v>24</v>
      </c>
      <c r="K1550" s="6"/>
      <c r="L1550" s="7">
        <v>45530</v>
      </c>
      <c r="M1550" s="6" t="s">
        <v>25</v>
      </c>
      <c r="N1550" s="8" t="s">
        <v>4833</v>
      </c>
      <c r="O1550" s="6">
        <f>HYPERLINK("https://docs.wto.org/imrd/directdoc.asp?DDFDocuments/t/G/TBTN24/BDI486.DOCX", "https://docs.wto.org/imrd/directdoc.asp?DDFDocuments/t/G/TBTN24/BDI486.DOCX")</f>
      </c>
      <c r="P1550" s="6"/>
      <c r="Q1550" s="6"/>
    </row>
    <row r="1551">
      <c r="A1551" s="6" t="s">
        <v>419</v>
      </c>
      <c r="B1551" s="7">
        <v>45470</v>
      </c>
      <c r="C1551" s="6">
        <f>HYPERLINK("https://eping.wto.org/en/Search?viewData= G/TBT/N/JPN/817"," G/TBT/N/JPN/817")</f>
      </c>
      <c r="D1551" s="8" t="s">
        <v>4892</v>
      </c>
      <c r="E1551" s="8" t="s">
        <v>4893</v>
      </c>
      <c r="F1551" s="8" t="s">
        <v>4894</v>
      </c>
      <c r="G1551" s="6" t="s">
        <v>40</v>
      </c>
      <c r="H1551" s="6" t="s">
        <v>336</v>
      </c>
      <c r="I1551" s="6" t="s">
        <v>142</v>
      </c>
      <c r="J1551" s="6" t="s">
        <v>1805</v>
      </c>
      <c r="K1551" s="6"/>
      <c r="L1551" s="7">
        <v>45500</v>
      </c>
      <c r="M1551" s="6" t="s">
        <v>25</v>
      </c>
      <c r="N1551" s="8" t="s">
        <v>4895</v>
      </c>
      <c r="O1551" s="6">
        <f>HYPERLINK("https://docs.wto.org/imrd/directdoc.asp?DDFDocuments/t/G/TBTN24/JPN817.DOCX", "https://docs.wto.org/imrd/directdoc.asp?DDFDocuments/t/G/TBTN24/JPN817.DOCX")</f>
      </c>
      <c r="P1551" s="6">
        <f>HYPERLINK("https://docs.wto.org/imrd/directdoc.asp?DDFDocuments/u/G/TBTN24/JPN817.DOCX", "https://docs.wto.org/imrd/directdoc.asp?DDFDocuments/u/G/TBTN24/JPN817.DOCX")</f>
      </c>
      <c r="Q1551" s="6">
        <f>HYPERLINK("https://docs.wto.org/imrd/directdoc.asp?DDFDocuments/v/G/TBTN24/JPN817.DOCX", "https://docs.wto.org/imrd/directdoc.asp?DDFDocuments/v/G/TBTN24/JPN817.DOCX")</f>
      </c>
    </row>
    <row r="1552">
      <c r="A1552" s="6" t="s">
        <v>17</v>
      </c>
      <c r="B1552" s="7">
        <v>45470</v>
      </c>
      <c r="C1552" s="6">
        <f>HYPERLINK("https://eping.wto.org/en/Search?viewData= G/TBT/N/BDI/489, G/TBT/N/KEN/1637, G/TBT/N/RWA/1038, G/TBT/N/TZA/1146, G/TBT/N/UGA/1956"," G/TBT/N/BDI/489, G/TBT/N/KEN/1637, G/TBT/N/RWA/1038, G/TBT/N/TZA/1146, G/TBT/N/UGA/1956")</f>
      </c>
      <c r="D1552" s="8" t="s">
        <v>4878</v>
      </c>
      <c r="E1552" s="8" t="s">
        <v>4879</v>
      </c>
      <c r="F1552" s="8" t="s">
        <v>4880</v>
      </c>
      <c r="G1552" s="6" t="s">
        <v>4881</v>
      </c>
      <c r="H1552" s="6" t="s">
        <v>2022</v>
      </c>
      <c r="I1552" s="6" t="s">
        <v>886</v>
      </c>
      <c r="J1552" s="6" t="s">
        <v>24</v>
      </c>
      <c r="K1552" s="6"/>
      <c r="L1552" s="7">
        <v>45530</v>
      </c>
      <c r="M1552" s="6" t="s">
        <v>25</v>
      </c>
      <c r="N1552" s="8" t="s">
        <v>4882</v>
      </c>
      <c r="O1552" s="6">
        <f>HYPERLINK("https://docs.wto.org/imrd/directdoc.asp?DDFDocuments/t/G/TBTN24/BDI489.DOCX", "https://docs.wto.org/imrd/directdoc.asp?DDFDocuments/t/G/TBTN24/BDI489.DOCX")</f>
      </c>
      <c r="P1552" s="6">
        <f>HYPERLINK("https://docs.wto.org/imrd/directdoc.asp?DDFDocuments/u/G/TBTN24/BDI489.DOCX", "https://docs.wto.org/imrd/directdoc.asp?DDFDocuments/u/G/TBTN24/BDI489.DOCX")</f>
      </c>
      <c r="Q1552" s="6">
        <f>HYPERLINK("https://docs.wto.org/imrd/directdoc.asp?DDFDocuments/v/G/TBTN24/BDI489.DOCX", "https://docs.wto.org/imrd/directdoc.asp?DDFDocuments/v/G/TBTN24/BDI489.DOCX")</f>
      </c>
    </row>
    <row r="1553">
      <c r="A1553" s="6" t="s">
        <v>401</v>
      </c>
      <c r="B1553" s="7">
        <v>45470</v>
      </c>
      <c r="C1553" s="6">
        <f>HYPERLINK("https://eping.wto.org/en/Search?viewData= G/SPS/N/KOR/802"," G/SPS/N/KOR/802")</f>
      </c>
      <c r="D1553" s="8" t="s">
        <v>4858</v>
      </c>
      <c r="E1553" s="8" t="s">
        <v>4896</v>
      </c>
      <c r="F1553" s="8" t="s">
        <v>422</v>
      </c>
      <c r="G1553" s="6" t="s">
        <v>40</v>
      </c>
      <c r="H1553" s="6" t="s">
        <v>40</v>
      </c>
      <c r="I1553" s="6" t="s">
        <v>38</v>
      </c>
      <c r="J1553" s="6" t="s">
        <v>60</v>
      </c>
      <c r="K1553" s="6" t="s">
        <v>40</v>
      </c>
      <c r="L1553" s="7">
        <v>45530</v>
      </c>
      <c r="M1553" s="6" t="s">
        <v>25</v>
      </c>
      <c r="N1553" s="8" t="s">
        <v>4897</v>
      </c>
      <c r="O1553" s="6">
        <f>HYPERLINK("https://docs.wto.org/imrd/directdoc.asp?DDFDocuments/t/G/SPS/NKOR802.DOCX", "https://docs.wto.org/imrd/directdoc.asp?DDFDocuments/t/G/SPS/NKOR802.DOCX")</f>
      </c>
      <c r="P1553" s="6">
        <f>HYPERLINK("https://docs.wto.org/imrd/directdoc.asp?DDFDocuments/u/G/SPS/NKOR802.DOCX", "https://docs.wto.org/imrd/directdoc.asp?DDFDocuments/u/G/SPS/NKOR802.DOCX")</f>
      </c>
      <c r="Q1553" s="6">
        <f>HYPERLINK("https://docs.wto.org/imrd/directdoc.asp?DDFDocuments/v/G/SPS/NKOR802.DOCX", "https://docs.wto.org/imrd/directdoc.asp?DDFDocuments/v/G/SPS/NKOR802.DOCX")</f>
      </c>
    </row>
    <row r="1554">
      <c r="A1554" s="6" t="s">
        <v>880</v>
      </c>
      <c r="B1554" s="7">
        <v>45470</v>
      </c>
      <c r="C1554" s="6">
        <f>HYPERLINK("https://eping.wto.org/en/Search?viewData= G/TBT/N/BDI/485, G/TBT/N/KEN/1633, G/TBT/N/RWA/1034, G/TBT/N/TZA/1142, G/TBT/N/UGA/1952"," G/TBT/N/BDI/485, G/TBT/N/KEN/1633, G/TBT/N/RWA/1034, G/TBT/N/TZA/1142, G/TBT/N/UGA/1952")</f>
      </c>
      <c r="D1554" s="8" t="s">
        <v>4834</v>
      </c>
      <c r="E1554" s="8" t="s">
        <v>4835</v>
      </c>
      <c r="F1554" s="8" t="s">
        <v>4836</v>
      </c>
      <c r="G1554" s="6" t="s">
        <v>4837</v>
      </c>
      <c r="H1554" s="6" t="s">
        <v>2022</v>
      </c>
      <c r="I1554" s="6" t="s">
        <v>886</v>
      </c>
      <c r="J1554" s="6" t="s">
        <v>24</v>
      </c>
      <c r="K1554" s="6"/>
      <c r="L1554" s="7">
        <v>45530</v>
      </c>
      <c r="M1554" s="6" t="s">
        <v>25</v>
      </c>
      <c r="N1554" s="8" t="s">
        <v>4838</v>
      </c>
      <c r="O1554" s="6">
        <f>HYPERLINK("https://docs.wto.org/imrd/directdoc.asp?DDFDocuments/t/G/TBTN24/BDI485.DOCX", "https://docs.wto.org/imrd/directdoc.asp?DDFDocuments/t/G/TBTN24/BDI485.DOCX")</f>
      </c>
      <c r="P1554" s="6">
        <f>HYPERLINK("https://docs.wto.org/imrd/directdoc.asp?DDFDocuments/u/G/TBTN24/BDI485.DOCX", "https://docs.wto.org/imrd/directdoc.asp?DDFDocuments/u/G/TBTN24/BDI485.DOCX")</f>
      </c>
      <c r="Q1554" s="6">
        <f>HYPERLINK("https://docs.wto.org/imrd/directdoc.asp?DDFDocuments/v/G/TBTN24/BDI485.DOCX", "https://docs.wto.org/imrd/directdoc.asp?DDFDocuments/v/G/TBTN24/BDI485.DOCX")</f>
      </c>
    </row>
    <row r="1555">
      <c r="A1555" s="6" t="s">
        <v>2030</v>
      </c>
      <c r="B1555" s="7">
        <v>45470</v>
      </c>
      <c r="C1555" s="6">
        <f>HYPERLINK("https://eping.wto.org/en/Search?viewData= G/TBT/N/BDI/487, G/TBT/N/KEN/1635, G/TBT/N/RWA/1036, G/TBT/N/TZA/1144, G/TBT/N/UGA/1954"," G/TBT/N/BDI/487, G/TBT/N/KEN/1635, G/TBT/N/RWA/1036, G/TBT/N/TZA/1144, G/TBT/N/UGA/1954")</f>
      </c>
      <c r="D1555" s="8" t="s">
        <v>4868</v>
      </c>
      <c r="E1555" s="8" t="s">
        <v>4869</v>
      </c>
      <c r="F1555" s="8" t="s">
        <v>4870</v>
      </c>
      <c r="G1555" s="6" t="s">
        <v>4871</v>
      </c>
      <c r="H1555" s="6" t="s">
        <v>2022</v>
      </c>
      <c r="I1555" s="6" t="s">
        <v>886</v>
      </c>
      <c r="J1555" s="6" t="s">
        <v>24</v>
      </c>
      <c r="K1555" s="6"/>
      <c r="L1555" s="7">
        <v>45530</v>
      </c>
      <c r="M1555" s="6" t="s">
        <v>25</v>
      </c>
      <c r="N1555" s="8" t="s">
        <v>4872</v>
      </c>
      <c r="O1555" s="6">
        <f>HYPERLINK("https://docs.wto.org/imrd/directdoc.asp?DDFDocuments/t/G/TBTN24/BDI487.DOCX", "https://docs.wto.org/imrd/directdoc.asp?DDFDocuments/t/G/TBTN24/BDI487.DOCX")</f>
      </c>
      <c r="P1555" s="6">
        <f>HYPERLINK("https://docs.wto.org/imrd/directdoc.asp?DDFDocuments/u/G/TBTN24/BDI487.DOCX", "https://docs.wto.org/imrd/directdoc.asp?DDFDocuments/u/G/TBTN24/BDI487.DOCX")</f>
      </c>
      <c r="Q1555" s="6">
        <f>HYPERLINK("https://docs.wto.org/imrd/directdoc.asp?DDFDocuments/v/G/TBTN24/BDI487.DOCX", "https://docs.wto.org/imrd/directdoc.asp?DDFDocuments/v/G/TBTN24/BDI487.DOCX")</f>
      </c>
    </row>
    <row r="1556">
      <c r="A1556" s="6" t="s">
        <v>2041</v>
      </c>
      <c r="B1556" s="7">
        <v>45470</v>
      </c>
      <c r="C1556" s="6">
        <f>HYPERLINK("https://eping.wto.org/en/Search?viewData= G/TBT/N/BDI/488, G/TBT/N/KEN/1636, G/TBT/N/RWA/1037, G/TBT/N/TZA/1145, G/TBT/N/UGA/1955"," G/TBT/N/BDI/488, G/TBT/N/KEN/1636, G/TBT/N/RWA/1037, G/TBT/N/TZA/1145, G/TBT/N/UGA/1955")</f>
      </c>
      <c r="D1556" s="8" t="s">
        <v>4873</v>
      </c>
      <c r="E1556" s="8" t="s">
        <v>4874</v>
      </c>
      <c r="F1556" s="8" t="s">
        <v>4875</v>
      </c>
      <c r="G1556" s="6" t="s">
        <v>4876</v>
      </c>
      <c r="H1556" s="6" t="s">
        <v>2022</v>
      </c>
      <c r="I1556" s="6" t="s">
        <v>886</v>
      </c>
      <c r="J1556" s="6" t="s">
        <v>24</v>
      </c>
      <c r="K1556" s="6"/>
      <c r="L1556" s="7">
        <v>45530</v>
      </c>
      <c r="M1556" s="6" t="s">
        <v>25</v>
      </c>
      <c r="N1556" s="8" t="s">
        <v>4877</v>
      </c>
      <c r="O1556" s="6">
        <f>HYPERLINK("https://docs.wto.org/imrd/directdoc.asp?DDFDocuments/t/G/TBTN24/BDI488.DOCX", "https://docs.wto.org/imrd/directdoc.asp?DDFDocuments/t/G/TBTN24/BDI488.DOCX")</f>
      </c>
      <c r="P1556" s="6">
        <f>HYPERLINK("https://docs.wto.org/imrd/directdoc.asp?DDFDocuments/u/G/TBTN24/BDI488.DOCX", "https://docs.wto.org/imrd/directdoc.asp?DDFDocuments/u/G/TBTN24/BDI488.DOCX")</f>
      </c>
      <c r="Q1556" s="6">
        <f>HYPERLINK("https://docs.wto.org/imrd/directdoc.asp?DDFDocuments/v/G/TBTN24/BDI488.DOCX", "https://docs.wto.org/imrd/directdoc.asp?DDFDocuments/v/G/TBTN24/BDI488.DOCX")</f>
      </c>
    </row>
    <row r="1557">
      <c r="A1557" s="6" t="s">
        <v>2030</v>
      </c>
      <c r="B1557" s="7">
        <v>45470</v>
      </c>
      <c r="C1557" s="6">
        <f>HYPERLINK("https://eping.wto.org/en/Search?viewData= G/TBT/N/BDI/489, G/TBT/N/KEN/1637, G/TBT/N/RWA/1038, G/TBT/N/TZA/1146, G/TBT/N/UGA/1956"," G/TBT/N/BDI/489, G/TBT/N/KEN/1637, G/TBT/N/RWA/1038, G/TBT/N/TZA/1146, G/TBT/N/UGA/1956")</f>
      </c>
      <c r="D1557" s="8" t="s">
        <v>4878</v>
      </c>
      <c r="E1557" s="8" t="s">
        <v>4879</v>
      </c>
      <c r="F1557" s="8" t="s">
        <v>4880</v>
      </c>
      <c r="G1557" s="6" t="s">
        <v>4881</v>
      </c>
      <c r="H1557" s="6" t="s">
        <v>2022</v>
      </c>
      <c r="I1557" s="6" t="s">
        <v>886</v>
      </c>
      <c r="J1557" s="6" t="s">
        <v>24</v>
      </c>
      <c r="K1557" s="6"/>
      <c r="L1557" s="7">
        <v>45530</v>
      </c>
      <c r="M1557" s="6" t="s">
        <v>25</v>
      </c>
      <c r="N1557" s="8" t="s">
        <v>4882</v>
      </c>
      <c r="O1557" s="6">
        <f>HYPERLINK("https://docs.wto.org/imrd/directdoc.asp?DDFDocuments/t/G/TBTN24/BDI489.DOCX", "https://docs.wto.org/imrd/directdoc.asp?DDFDocuments/t/G/TBTN24/BDI489.DOCX")</f>
      </c>
      <c r="P1557" s="6">
        <f>HYPERLINK("https://docs.wto.org/imrd/directdoc.asp?DDFDocuments/u/G/TBTN24/BDI489.DOCX", "https://docs.wto.org/imrd/directdoc.asp?DDFDocuments/u/G/TBTN24/BDI489.DOCX")</f>
      </c>
      <c r="Q1557" s="6">
        <f>HYPERLINK("https://docs.wto.org/imrd/directdoc.asp?DDFDocuments/v/G/TBTN24/BDI489.DOCX", "https://docs.wto.org/imrd/directdoc.asp?DDFDocuments/v/G/TBTN24/BDI489.DOCX")</f>
      </c>
    </row>
    <row r="1558">
      <c r="A1558" s="6" t="s">
        <v>515</v>
      </c>
      <c r="B1558" s="7">
        <v>45470</v>
      </c>
      <c r="C1558" s="6">
        <f>HYPERLINK("https://eping.wto.org/en/Search?viewData= G/TBT/N/EU/1071"," G/TBT/N/EU/1071")</f>
      </c>
      <c r="D1558" s="8" t="s">
        <v>4898</v>
      </c>
      <c r="E1558" s="8" t="s">
        <v>4899</v>
      </c>
      <c r="F1558" s="8" t="s">
        <v>4900</v>
      </c>
      <c r="G1558" s="6" t="s">
        <v>4901</v>
      </c>
      <c r="H1558" s="6" t="s">
        <v>3158</v>
      </c>
      <c r="I1558" s="6" t="s">
        <v>4902</v>
      </c>
      <c r="J1558" s="6" t="s">
        <v>24</v>
      </c>
      <c r="K1558" s="6"/>
      <c r="L1558" s="7">
        <v>45530</v>
      </c>
      <c r="M1558" s="6" t="s">
        <v>25</v>
      </c>
      <c r="N1558" s="8" t="s">
        <v>4903</v>
      </c>
      <c r="O1558" s="6">
        <f>HYPERLINK("https://docs.wto.org/imrd/directdoc.asp?DDFDocuments/t/G/TBTN24/EU1071.DOCX", "https://docs.wto.org/imrd/directdoc.asp?DDFDocuments/t/G/TBTN24/EU1071.DOCX")</f>
      </c>
      <c r="P1558" s="6">
        <f>HYPERLINK("https://docs.wto.org/imrd/directdoc.asp?DDFDocuments/u/G/TBTN24/EU1071.DOCX", "https://docs.wto.org/imrd/directdoc.asp?DDFDocuments/u/G/TBTN24/EU1071.DOCX")</f>
      </c>
      <c r="Q1558" s="6">
        <f>HYPERLINK("https://docs.wto.org/imrd/directdoc.asp?DDFDocuments/v/G/TBTN24/EU1071.DOCX", "https://docs.wto.org/imrd/directdoc.asp?DDFDocuments/v/G/TBTN24/EU1071.DOCX")</f>
      </c>
    </row>
    <row r="1559">
      <c r="A1559" s="6" t="s">
        <v>880</v>
      </c>
      <c r="B1559" s="7">
        <v>45470</v>
      </c>
      <c r="C1559" s="6">
        <f>HYPERLINK("https://eping.wto.org/en/Search?viewData= G/TBT/N/BDI/487, G/TBT/N/KEN/1635, G/TBT/N/RWA/1036, G/TBT/N/TZA/1144, G/TBT/N/UGA/1954"," G/TBT/N/BDI/487, G/TBT/N/KEN/1635, G/TBT/N/RWA/1036, G/TBT/N/TZA/1144, G/TBT/N/UGA/1954")</f>
      </c>
      <c r="D1559" s="8" t="s">
        <v>4868</v>
      </c>
      <c r="E1559" s="8" t="s">
        <v>4869</v>
      </c>
      <c r="F1559" s="8" t="s">
        <v>4870</v>
      </c>
      <c r="G1559" s="6" t="s">
        <v>4871</v>
      </c>
      <c r="H1559" s="6" t="s">
        <v>2022</v>
      </c>
      <c r="I1559" s="6" t="s">
        <v>886</v>
      </c>
      <c r="J1559" s="6" t="s">
        <v>24</v>
      </c>
      <c r="K1559" s="6"/>
      <c r="L1559" s="7">
        <v>45530</v>
      </c>
      <c r="M1559" s="6" t="s">
        <v>25</v>
      </c>
      <c r="N1559" s="8" t="s">
        <v>4872</v>
      </c>
      <c r="O1559" s="6">
        <f>HYPERLINK("https://docs.wto.org/imrd/directdoc.asp?DDFDocuments/t/G/TBTN24/BDI487.DOCX", "https://docs.wto.org/imrd/directdoc.asp?DDFDocuments/t/G/TBTN24/BDI487.DOCX")</f>
      </c>
      <c r="P1559" s="6">
        <f>HYPERLINK("https://docs.wto.org/imrd/directdoc.asp?DDFDocuments/u/G/TBTN24/BDI487.DOCX", "https://docs.wto.org/imrd/directdoc.asp?DDFDocuments/u/G/TBTN24/BDI487.DOCX")</f>
      </c>
      <c r="Q1559" s="6">
        <f>HYPERLINK("https://docs.wto.org/imrd/directdoc.asp?DDFDocuments/v/G/TBTN24/BDI487.DOCX", "https://docs.wto.org/imrd/directdoc.asp?DDFDocuments/v/G/TBTN24/BDI487.DOCX")</f>
      </c>
    </row>
    <row r="1560">
      <c r="A1560" s="6" t="s">
        <v>2024</v>
      </c>
      <c r="B1560" s="7">
        <v>45470</v>
      </c>
      <c r="C1560" s="6">
        <f>HYPERLINK("https://eping.wto.org/en/Search?viewData= G/TBT/N/BDI/486, G/TBT/N/KEN/1634, G/TBT/N/RWA/1035, G/TBT/N/TZA/1143, G/TBT/N/UGA/1953"," G/TBT/N/BDI/486, G/TBT/N/KEN/1634, G/TBT/N/RWA/1035, G/TBT/N/TZA/1143, G/TBT/N/UGA/1953")</f>
      </c>
      <c r="D1560" s="8" t="s">
        <v>4829</v>
      </c>
      <c r="E1560" s="8" t="s">
        <v>4830</v>
      </c>
      <c r="F1560" s="8" t="s">
        <v>4831</v>
      </c>
      <c r="G1560" s="6" t="s">
        <v>4832</v>
      </c>
      <c r="H1560" s="6" t="s">
        <v>2022</v>
      </c>
      <c r="I1560" s="6" t="s">
        <v>886</v>
      </c>
      <c r="J1560" s="6" t="s">
        <v>24</v>
      </c>
      <c r="K1560" s="6"/>
      <c r="L1560" s="7">
        <v>45530</v>
      </c>
      <c r="M1560" s="6" t="s">
        <v>25</v>
      </c>
      <c r="N1560" s="8" t="s">
        <v>4833</v>
      </c>
      <c r="O1560" s="6">
        <f>HYPERLINK("https://docs.wto.org/imrd/directdoc.asp?DDFDocuments/t/G/TBTN24/BDI486.DOCX", "https://docs.wto.org/imrd/directdoc.asp?DDFDocuments/t/G/TBTN24/BDI486.DOCX")</f>
      </c>
      <c r="P1560" s="6"/>
      <c r="Q1560" s="6"/>
    </row>
    <row r="1561">
      <c r="A1561" s="6" t="s">
        <v>2030</v>
      </c>
      <c r="B1561" s="7">
        <v>45470</v>
      </c>
      <c r="C1561" s="6">
        <f>HYPERLINK("https://eping.wto.org/en/Search?viewData= G/TBT/N/BDI/490, G/TBT/N/KEN/1638, G/TBT/N/RWA/1039, G/TBT/N/TZA/1147, G/TBT/N/UGA/1957"," G/TBT/N/BDI/490, G/TBT/N/KEN/1638, G/TBT/N/RWA/1039, G/TBT/N/TZA/1147, G/TBT/N/UGA/1957")</f>
      </c>
      <c r="D1561" s="8" t="s">
        <v>4843</v>
      </c>
      <c r="E1561" s="8" t="s">
        <v>4844</v>
      </c>
      <c r="F1561" s="8" t="s">
        <v>4845</v>
      </c>
      <c r="G1561" s="6" t="s">
        <v>4846</v>
      </c>
      <c r="H1561" s="6" t="s">
        <v>2022</v>
      </c>
      <c r="I1561" s="6" t="s">
        <v>886</v>
      </c>
      <c r="J1561" s="6" t="s">
        <v>24</v>
      </c>
      <c r="K1561" s="6"/>
      <c r="L1561" s="7">
        <v>45530</v>
      </c>
      <c r="M1561" s="6" t="s">
        <v>25</v>
      </c>
      <c r="N1561" s="8" t="s">
        <v>4847</v>
      </c>
      <c r="O1561" s="6">
        <f>HYPERLINK("https://docs.wto.org/imrd/directdoc.asp?DDFDocuments/t/G/TBTN24/BDI490.DOCX", "https://docs.wto.org/imrd/directdoc.asp?DDFDocuments/t/G/TBTN24/BDI490.DOCX")</f>
      </c>
      <c r="P1561" s="6">
        <f>HYPERLINK("https://docs.wto.org/imrd/directdoc.asp?DDFDocuments/u/G/TBTN24/BDI490.DOCX", "https://docs.wto.org/imrd/directdoc.asp?DDFDocuments/u/G/TBTN24/BDI490.DOCX")</f>
      </c>
      <c r="Q1561" s="6">
        <f>HYPERLINK("https://docs.wto.org/imrd/directdoc.asp?DDFDocuments/v/G/TBTN24/BDI490.DOCX", "https://docs.wto.org/imrd/directdoc.asp?DDFDocuments/v/G/TBTN24/BDI490.DOCX")</f>
      </c>
    </row>
    <row r="1562">
      <c r="A1562" s="6" t="s">
        <v>307</v>
      </c>
      <c r="B1562" s="7">
        <v>45470</v>
      </c>
      <c r="C1562" s="6">
        <f>HYPERLINK("https://eping.wto.org/en/Search?viewData= G/TBT/N/CAN/728"," G/TBT/N/CAN/728")</f>
      </c>
      <c r="D1562" s="8" t="s">
        <v>4904</v>
      </c>
      <c r="E1562" s="8" t="s">
        <v>4905</v>
      </c>
      <c r="F1562" s="8" t="s">
        <v>4906</v>
      </c>
      <c r="G1562" s="6" t="s">
        <v>40</v>
      </c>
      <c r="H1562" s="6" t="s">
        <v>2928</v>
      </c>
      <c r="I1562" s="6" t="s">
        <v>142</v>
      </c>
      <c r="J1562" s="6" t="s">
        <v>40</v>
      </c>
      <c r="K1562" s="6"/>
      <c r="L1562" s="7">
        <v>45541</v>
      </c>
      <c r="M1562" s="6" t="s">
        <v>25</v>
      </c>
      <c r="N1562" s="8" t="s">
        <v>4907</v>
      </c>
      <c r="O1562" s="6">
        <f>HYPERLINK("https://docs.wto.org/imrd/directdoc.asp?DDFDocuments/t/G/TBTN24/CAN728.DOCX", "https://docs.wto.org/imrd/directdoc.asp?DDFDocuments/t/G/TBTN24/CAN728.DOCX")</f>
      </c>
      <c r="P1562" s="6">
        <f>HYPERLINK("https://docs.wto.org/imrd/directdoc.asp?DDFDocuments/u/G/TBTN24/CAN728.DOCX", "https://docs.wto.org/imrd/directdoc.asp?DDFDocuments/u/G/TBTN24/CAN728.DOCX")</f>
      </c>
      <c r="Q1562" s="6">
        <f>HYPERLINK("https://docs.wto.org/imrd/directdoc.asp?DDFDocuments/v/G/TBTN24/CAN728.DOCX", "https://docs.wto.org/imrd/directdoc.asp?DDFDocuments/v/G/TBTN24/CAN728.DOCX")</f>
      </c>
    </row>
    <row r="1563">
      <c r="A1563" s="6" t="s">
        <v>373</v>
      </c>
      <c r="B1563" s="7">
        <v>45470</v>
      </c>
      <c r="C1563" s="6">
        <f>HYPERLINK("https://eping.wto.org/en/Search?viewData= G/TBT/N/ISR/1350"," G/TBT/N/ISR/1350")</f>
      </c>
      <c r="D1563" s="8" t="s">
        <v>4908</v>
      </c>
      <c r="E1563" s="8" t="s">
        <v>4909</v>
      </c>
      <c r="F1563" s="8" t="s">
        <v>4863</v>
      </c>
      <c r="G1563" s="6" t="s">
        <v>4864</v>
      </c>
      <c r="H1563" s="6" t="s">
        <v>4865</v>
      </c>
      <c r="I1563" s="6" t="s">
        <v>4866</v>
      </c>
      <c r="J1563" s="6" t="s">
        <v>40</v>
      </c>
      <c r="K1563" s="6"/>
      <c r="L1563" s="7">
        <v>45530</v>
      </c>
      <c r="M1563" s="6" t="s">
        <v>25</v>
      </c>
      <c r="N1563" s="8" t="s">
        <v>4910</v>
      </c>
      <c r="O1563" s="6">
        <f>HYPERLINK("https://docs.wto.org/imrd/directdoc.asp?DDFDocuments/t/G/TBTN24/ISR1350.DOCX", "https://docs.wto.org/imrd/directdoc.asp?DDFDocuments/t/G/TBTN24/ISR1350.DOCX")</f>
      </c>
      <c r="P1563" s="6">
        <f>HYPERLINK("https://docs.wto.org/imrd/directdoc.asp?DDFDocuments/u/G/TBTN24/ISR1350.DOCX", "https://docs.wto.org/imrd/directdoc.asp?DDFDocuments/u/G/TBTN24/ISR1350.DOCX")</f>
      </c>
      <c r="Q1563" s="6">
        <f>HYPERLINK("https://docs.wto.org/imrd/directdoc.asp?DDFDocuments/v/G/TBTN24/ISR1350.DOCX", "https://docs.wto.org/imrd/directdoc.asp?DDFDocuments/v/G/TBTN24/ISR1350.DOCX")</f>
      </c>
    </row>
    <row r="1564">
      <c r="A1564" s="6" t="s">
        <v>880</v>
      </c>
      <c r="B1564" s="7">
        <v>45470</v>
      </c>
      <c r="C1564" s="6">
        <f>HYPERLINK("https://eping.wto.org/en/Search?viewData= G/TBT/N/BDI/489, G/TBT/N/KEN/1637, G/TBT/N/RWA/1038, G/TBT/N/TZA/1146, G/TBT/N/UGA/1956"," G/TBT/N/BDI/489, G/TBT/N/KEN/1637, G/TBT/N/RWA/1038, G/TBT/N/TZA/1146, G/TBT/N/UGA/1956")</f>
      </c>
      <c r="D1564" s="8" t="s">
        <v>4878</v>
      </c>
      <c r="E1564" s="8" t="s">
        <v>4879</v>
      </c>
      <c r="F1564" s="8" t="s">
        <v>4880</v>
      </c>
      <c r="G1564" s="6" t="s">
        <v>4881</v>
      </c>
      <c r="H1564" s="6" t="s">
        <v>2022</v>
      </c>
      <c r="I1564" s="6" t="s">
        <v>886</v>
      </c>
      <c r="J1564" s="6" t="s">
        <v>24</v>
      </c>
      <c r="K1564" s="6"/>
      <c r="L1564" s="7">
        <v>45530</v>
      </c>
      <c r="M1564" s="6" t="s">
        <v>25</v>
      </c>
      <c r="N1564" s="8" t="s">
        <v>4882</v>
      </c>
      <c r="O1564" s="6">
        <f>HYPERLINK("https://docs.wto.org/imrd/directdoc.asp?DDFDocuments/t/G/TBTN24/BDI489.DOCX", "https://docs.wto.org/imrd/directdoc.asp?DDFDocuments/t/G/TBTN24/BDI489.DOCX")</f>
      </c>
      <c r="P1564" s="6">
        <f>HYPERLINK("https://docs.wto.org/imrd/directdoc.asp?DDFDocuments/u/G/TBTN24/BDI489.DOCX", "https://docs.wto.org/imrd/directdoc.asp?DDFDocuments/u/G/TBTN24/BDI489.DOCX")</f>
      </c>
      <c r="Q1564" s="6">
        <f>HYPERLINK("https://docs.wto.org/imrd/directdoc.asp?DDFDocuments/v/G/TBTN24/BDI489.DOCX", "https://docs.wto.org/imrd/directdoc.asp?DDFDocuments/v/G/TBTN24/BDI489.DOCX")</f>
      </c>
    </row>
    <row r="1565">
      <c r="A1565" s="6" t="s">
        <v>2041</v>
      </c>
      <c r="B1565" s="7">
        <v>45470</v>
      </c>
      <c r="C1565" s="6">
        <f>HYPERLINK("https://eping.wto.org/en/Search?viewData= G/TBT/N/BDI/486, G/TBT/N/KEN/1634, G/TBT/N/RWA/1035, G/TBT/N/TZA/1143, G/TBT/N/UGA/1953"," G/TBT/N/BDI/486, G/TBT/N/KEN/1634, G/TBT/N/RWA/1035, G/TBT/N/TZA/1143, G/TBT/N/UGA/1953")</f>
      </c>
      <c r="D1565" s="8" t="s">
        <v>4829</v>
      </c>
      <c r="E1565" s="8" t="s">
        <v>4830</v>
      </c>
      <c r="F1565" s="8" t="s">
        <v>4831</v>
      </c>
      <c r="G1565" s="6" t="s">
        <v>4832</v>
      </c>
      <c r="H1565" s="6" t="s">
        <v>2022</v>
      </c>
      <c r="I1565" s="6" t="s">
        <v>886</v>
      </c>
      <c r="J1565" s="6" t="s">
        <v>24</v>
      </c>
      <c r="K1565" s="6"/>
      <c r="L1565" s="7">
        <v>45530</v>
      </c>
      <c r="M1565" s="6" t="s">
        <v>25</v>
      </c>
      <c r="N1565" s="8" t="s">
        <v>4833</v>
      </c>
      <c r="O1565" s="6">
        <f>HYPERLINK("https://docs.wto.org/imrd/directdoc.asp?DDFDocuments/t/G/TBTN24/BDI486.DOCX", "https://docs.wto.org/imrd/directdoc.asp?DDFDocuments/t/G/TBTN24/BDI486.DOCX")</f>
      </c>
      <c r="P1565" s="6"/>
      <c r="Q1565" s="6"/>
    </row>
    <row r="1566">
      <c r="A1566" s="6" t="s">
        <v>2024</v>
      </c>
      <c r="B1566" s="7">
        <v>45470</v>
      </c>
      <c r="C1566" s="6">
        <f>HYPERLINK("https://eping.wto.org/en/Search?viewData= G/TBT/N/BDI/489, G/TBT/N/KEN/1637, G/TBT/N/RWA/1038, G/TBT/N/TZA/1146, G/TBT/N/UGA/1956"," G/TBT/N/BDI/489, G/TBT/N/KEN/1637, G/TBT/N/RWA/1038, G/TBT/N/TZA/1146, G/TBT/N/UGA/1956")</f>
      </c>
      <c r="D1566" s="8" t="s">
        <v>4878</v>
      </c>
      <c r="E1566" s="8" t="s">
        <v>4879</v>
      </c>
      <c r="F1566" s="8" t="s">
        <v>4880</v>
      </c>
      <c r="G1566" s="6" t="s">
        <v>4881</v>
      </c>
      <c r="H1566" s="6" t="s">
        <v>2022</v>
      </c>
      <c r="I1566" s="6" t="s">
        <v>886</v>
      </c>
      <c r="J1566" s="6" t="s">
        <v>24</v>
      </c>
      <c r="K1566" s="6"/>
      <c r="L1566" s="7">
        <v>45530</v>
      </c>
      <c r="M1566" s="6" t="s">
        <v>25</v>
      </c>
      <c r="N1566" s="8" t="s">
        <v>4882</v>
      </c>
      <c r="O1566" s="6">
        <f>HYPERLINK("https://docs.wto.org/imrd/directdoc.asp?DDFDocuments/t/G/TBTN24/BDI489.DOCX", "https://docs.wto.org/imrd/directdoc.asp?DDFDocuments/t/G/TBTN24/BDI489.DOCX")</f>
      </c>
      <c r="P1566" s="6">
        <f>HYPERLINK("https://docs.wto.org/imrd/directdoc.asp?DDFDocuments/u/G/TBTN24/BDI489.DOCX", "https://docs.wto.org/imrd/directdoc.asp?DDFDocuments/u/G/TBTN24/BDI489.DOCX")</f>
      </c>
      <c r="Q1566" s="6">
        <f>HYPERLINK("https://docs.wto.org/imrd/directdoc.asp?DDFDocuments/v/G/TBTN24/BDI489.DOCX", "https://docs.wto.org/imrd/directdoc.asp?DDFDocuments/v/G/TBTN24/BDI489.DOCX")</f>
      </c>
    </row>
    <row r="1567">
      <c r="A1567" s="6" t="s">
        <v>515</v>
      </c>
      <c r="B1567" s="7">
        <v>45470</v>
      </c>
      <c r="C1567" s="6">
        <f>HYPERLINK("https://eping.wto.org/en/Search?viewData= G/SPS/N/EU/777"," G/SPS/N/EU/777")</f>
      </c>
      <c r="D1567" s="8" t="s">
        <v>4898</v>
      </c>
      <c r="E1567" s="8" t="s">
        <v>4911</v>
      </c>
      <c r="F1567" s="8" t="s">
        <v>4900</v>
      </c>
      <c r="G1567" s="6" t="s">
        <v>4901</v>
      </c>
      <c r="H1567" s="6" t="s">
        <v>40</v>
      </c>
      <c r="I1567" s="6" t="s">
        <v>38</v>
      </c>
      <c r="J1567" s="6" t="s">
        <v>60</v>
      </c>
      <c r="K1567" s="6"/>
      <c r="L1567" s="7">
        <v>45530</v>
      </c>
      <c r="M1567" s="6" t="s">
        <v>25</v>
      </c>
      <c r="N1567" s="8" t="s">
        <v>4912</v>
      </c>
      <c r="O1567" s="6">
        <f>HYPERLINK("https://docs.wto.org/imrd/directdoc.asp?DDFDocuments/t/G/SPS/NEU777.DOCX", "https://docs.wto.org/imrd/directdoc.asp?DDFDocuments/t/G/SPS/NEU777.DOCX")</f>
      </c>
      <c r="P1567" s="6">
        <f>HYPERLINK("https://docs.wto.org/imrd/directdoc.asp?DDFDocuments/u/G/SPS/NEU777.DOCX", "https://docs.wto.org/imrd/directdoc.asp?DDFDocuments/u/G/SPS/NEU777.DOCX")</f>
      </c>
      <c r="Q1567" s="6">
        <f>HYPERLINK("https://docs.wto.org/imrd/directdoc.asp?DDFDocuments/v/G/SPS/NEU777.DOCX", "https://docs.wto.org/imrd/directdoc.asp?DDFDocuments/v/G/SPS/NEU777.DOCX")</f>
      </c>
    </row>
    <row r="1568">
      <c r="A1568" s="6" t="s">
        <v>391</v>
      </c>
      <c r="B1568" s="7">
        <v>45470</v>
      </c>
      <c r="C1568" s="6">
        <f>HYPERLINK("https://eping.wto.org/en/Search?viewData= G/SPS/N/ARE/281, G/SPS/N/BHR/238, G/SPS/N/KWT/145, G/SPS/N/OMN/133, G/SPS/N/QAT/137, G/SPS/N/SAU/533, G/SPS/N/YEM/78"," G/SPS/N/ARE/281, G/SPS/N/BHR/238, G/SPS/N/KWT/145, G/SPS/N/OMN/133, G/SPS/N/QAT/137, G/SPS/N/SAU/533, G/SPS/N/YEM/78")</f>
      </c>
      <c r="D1568" s="8" t="s">
        <v>4839</v>
      </c>
      <c r="E1568" s="8" t="s">
        <v>4840</v>
      </c>
      <c r="F1568" s="8" t="s">
        <v>4841</v>
      </c>
      <c r="G1568" s="6" t="s">
        <v>44</v>
      </c>
      <c r="H1568" s="6" t="s">
        <v>37</v>
      </c>
      <c r="I1568" s="6" t="s">
        <v>38</v>
      </c>
      <c r="J1568" s="6" t="s">
        <v>39</v>
      </c>
      <c r="K1568" s="6" t="s">
        <v>40</v>
      </c>
      <c r="L1568" s="7">
        <v>45530</v>
      </c>
      <c r="M1568" s="6" t="s">
        <v>25</v>
      </c>
      <c r="N1568" s="8" t="s">
        <v>4842</v>
      </c>
      <c r="O1568" s="6">
        <f>HYPERLINK("https://docs.wto.org/imrd/directdoc.asp?DDFDocuments/t/G/SPS/NARE281.DOCX", "https://docs.wto.org/imrd/directdoc.asp?DDFDocuments/t/G/SPS/NARE281.DOCX")</f>
      </c>
      <c r="P1568" s="6">
        <f>HYPERLINK("https://docs.wto.org/imrd/directdoc.asp?DDFDocuments/u/G/SPS/NARE281.DOCX", "https://docs.wto.org/imrd/directdoc.asp?DDFDocuments/u/G/SPS/NARE281.DOCX")</f>
      </c>
      <c r="Q1568" s="6">
        <f>HYPERLINK("https://docs.wto.org/imrd/directdoc.asp?DDFDocuments/v/G/SPS/NARE281.DOCX", "https://docs.wto.org/imrd/directdoc.asp?DDFDocuments/v/G/SPS/NARE281.DOCX")</f>
      </c>
    </row>
    <row r="1569">
      <c r="A1569" s="6" t="s">
        <v>372</v>
      </c>
      <c r="B1569" s="7">
        <v>45470</v>
      </c>
      <c r="C1569" s="6">
        <f>HYPERLINK("https://eping.wto.org/en/Search?viewData= G/SPS/N/ARE/281, G/SPS/N/BHR/238, G/SPS/N/KWT/145, G/SPS/N/OMN/133, G/SPS/N/QAT/137, G/SPS/N/SAU/533, G/SPS/N/YEM/78"," G/SPS/N/ARE/281, G/SPS/N/BHR/238, G/SPS/N/KWT/145, G/SPS/N/OMN/133, G/SPS/N/QAT/137, G/SPS/N/SAU/533, G/SPS/N/YEM/78")</f>
      </c>
      <c r="D1569" s="8" t="s">
        <v>4839</v>
      </c>
      <c r="E1569" s="8" t="s">
        <v>4840</v>
      </c>
      <c r="F1569" s="8" t="s">
        <v>4841</v>
      </c>
      <c r="G1569" s="6" t="s">
        <v>44</v>
      </c>
      <c r="H1569" s="6" t="s">
        <v>37</v>
      </c>
      <c r="I1569" s="6" t="s">
        <v>38</v>
      </c>
      <c r="J1569" s="6" t="s">
        <v>39</v>
      </c>
      <c r="K1569" s="6" t="s">
        <v>40</v>
      </c>
      <c r="L1569" s="7">
        <v>45530</v>
      </c>
      <c r="M1569" s="6" t="s">
        <v>25</v>
      </c>
      <c r="N1569" s="8" t="s">
        <v>4842</v>
      </c>
      <c r="O1569" s="6">
        <f>HYPERLINK("https://docs.wto.org/imrd/directdoc.asp?DDFDocuments/t/G/SPS/NARE281.DOCX", "https://docs.wto.org/imrd/directdoc.asp?DDFDocuments/t/G/SPS/NARE281.DOCX")</f>
      </c>
      <c r="P1569" s="6">
        <f>HYPERLINK("https://docs.wto.org/imrd/directdoc.asp?DDFDocuments/u/G/SPS/NARE281.DOCX", "https://docs.wto.org/imrd/directdoc.asp?DDFDocuments/u/G/SPS/NARE281.DOCX")</f>
      </c>
      <c r="Q1569" s="6">
        <f>HYPERLINK("https://docs.wto.org/imrd/directdoc.asp?DDFDocuments/v/G/SPS/NARE281.DOCX", "https://docs.wto.org/imrd/directdoc.asp?DDFDocuments/v/G/SPS/NARE281.DOCX")</f>
      </c>
    </row>
    <row r="1570">
      <c r="A1570" s="6" t="s">
        <v>880</v>
      </c>
      <c r="B1570" s="7">
        <v>45470</v>
      </c>
      <c r="C1570" s="6">
        <f>HYPERLINK("https://eping.wto.org/en/Search?viewData= G/TBT/N/BDI/488, G/TBT/N/KEN/1636, G/TBT/N/RWA/1037, G/TBT/N/TZA/1145, G/TBT/N/UGA/1955"," G/TBT/N/BDI/488, G/TBT/N/KEN/1636, G/TBT/N/RWA/1037, G/TBT/N/TZA/1145, G/TBT/N/UGA/1955")</f>
      </c>
      <c r="D1570" s="8" t="s">
        <v>4873</v>
      </c>
      <c r="E1570" s="8" t="s">
        <v>4874</v>
      </c>
      <c r="F1570" s="8" t="s">
        <v>4875</v>
      </c>
      <c r="G1570" s="6" t="s">
        <v>4876</v>
      </c>
      <c r="H1570" s="6" t="s">
        <v>2022</v>
      </c>
      <c r="I1570" s="6" t="s">
        <v>886</v>
      </c>
      <c r="J1570" s="6" t="s">
        <v>24</v>
      </c>
      <c r="K1570" s="6"/>
      <c r="L1570" s="7">
        <v>45530</v>
      </c>
      <c r="M1570" s="6" t="s">
        <v>25</v>
      </c>
      <c r="N1570" s="8" t="s">
        <v>4877</v>
      </c>
      <c r="O1570" s="6">
        <f>HYPERLINK("https://docs.wto.org/imrd/directdoc.asp?DDFDocuments/t/G/TBTN24/BDI488.DOCX", "https://docs.wto.org/imrd/directdoc.asp?DDFDocuments/t/G/TBTN24/BDI488.DOCX")</f>
      </c>
      <c r="P1570" s="6">
        <f>HYPERLINK("https://docs.wto.org/imrd/directdoc.asp?DDFDocuments/u/G/TBTN24/BDI488.DOCX", "https://docs.wto.org/imrd/directdoc.asp?DDFDocuments/u/G/TBTN24/BDI488.DOCX")</f>
      </c>
      <c r="Q1570" s="6">
        <f>HYPERLINK("https://docs.wto.org/imrd/directdoc.asp?DDFDocuments/v/G/TBTN24/BDI488.DOCX", "https://docs.wto.org/imrd/directdoc.asp?DDFDocuments/v/G/TBTN24/BDI488.DOCX")</f>
      </c>
    </row>
    <row r="1571">
      <c r="A1571" s="6" t="s">
        <v>17</v>
      </c>
      <c r="B1571" s="7">
        <v>45470</v>
      </c>
      <c r="C1571" s="6">
        <f>HYPERLINK("https://eping.wto.org/en/Search?viewData= G/TBT/N/BDI/487, G/TBT/N/KEN/1635, G/TBT/N/RWA/1036, G/TBT/N/TZA/1144, G/TBT/N/UGA/1954"," G/TBT/N/BDI/487, G/TBT/N/KEN/1635, G/TBT/N/RWA/1036, G/TBT/N/TZA/1144, G/TBT/N/UGA/1954")</f>
      </c>
      <c r="D1571" s="8" t="s">
        <v>4868</v>
      </c>
      <c r="E1571" s="8" t="s">
        <v>4869</v>
      </c>
      <c r="F1571" s="8" t="s">
        <v>4870</v>
      </c>
      <c r="G1571" s="6" t="s">
        <v>4871</v>
      </c>
      <c r="H1571" s="6" t="s">
        <v>2022</v>
      </c>
      <c r="I1571" s="6" t="s">
        <v>886</v>
      </c>
      <c r="J1571" s="6" t="s">
        <v>24</v>
      </c>
      <c r="K1571" s="6"/>
      <c r="L1571" s="7">
        <v>45530</v>
      </c>
      <c r="M1571" s="6" t="s">
        <v>25</v>
      </c>
      <c r="N1571" s="8" t="s">
        <v>4872</v>
      </c>
      <c r="O1571" s="6">
        <f>HYPERLINK("https://docs.wto.org/imrd/directdoc.asp?DDFDocuments/t/G/TBTN24/BDI487.DOCX", "https://docs.wto.org/imrd/directdoc.asp?DDFDocuments/t/G/TBTN24/BDI487.DOCX")</f>
      </c>
      <c r="P1571" s="6">
        <f>HYPERLINK("https://docs.wto.org/imrd/directdoc.asp?DDFDocuments/u/G/TBTN24/BDI487.DOCX", "https://docs.wto.org/imrd/directdoc.asp?DDFDocuments/u/G/TBTN24/BDI487.DOCX")</f>
      </c>
      <c r="Q1571" s="6">
        <f>HYPERLINK("https://docs.wto.org/imrd/directdoc.asp?DDFDocuments/v/G/TBTN24/BDI487.DOCX", "https://docs.wto.org/imrd/directdoc.asp?DDFDocuments/v/G/TBTN24/BDI487.DOCX")</f>
      </c>
    </row>
    <row r="1572">
      <c r="A1572" s="6" t="s">
        <v>2041</v>
      </c>
      <c r="B1572" s="7">
        <v>45470</v>
      </c>
      <c r="C1572" s="6">
        <f>HYPERLINK("https://eping.wto.org/en/Search?viewData= G/TBT/N/BDI/487, G/TBT/N/KEN/1635, G/TBT/N/RWA/1036, G/TBT/N/TZA/1144, G/TBT/N/UGA/1954"," G/TBT/N/BDI/487, G/TBT/N/KEN/1635, G/TBT/N/RWA/1036, G/TBT/N/TZA/1144, G/TBT/N/UGA/1954")</f>
      </c>
      <c r="D1572" s="8" t="s">
        <v>4868</v>
      </c>
      <c r="E1572" s="8" t="s">
        <v>4869</v>
      </c>
      <c r="F1572" s="8" t="s">
        <v>4870</v>
      </c>
      <c r="G1572" s="6" t="s">
        <v>4871</v>
      </c>
      <c r="H1572" s="6" t="s">
        <v>2022</v>
      </c>
      <c r="I1572" s="6" t="s">
        <v>886</v>
      </c>
      <c r="J1572" s="6" t="s">
        <v>24</v>
      </c>
      <c r="K1572" s="6"/>
      <c r="L1572" s="7">
        <v>45530</v>
      </c>
      <c r="M1572" s="6" t="s">
        <v>25</v>
      </c>
      <c r="N1572" s="8" t="s">
        <v>4872</v>
      </c>
      <c r="O1572" s="6">
        <f>HYPERLINK("https://docs.wto.org/imrd/directdoc.asp?DDFDocuments/t/G/TBTN24/BDI487.DOCX", "https://docs.wto.org/imrd/directdoc.asp?DDFDocuments/t/G/TBTN24/BDI487.DOCX")</f>
      </c>
      <c r="P1572" s="6">
        <f>HYPERLINK("https://docs.wto.org/imrd/directdoc.asp?DDFDocuments/u/G/TBTN24/BDI487.DOCX", "https://docs.wto.org/imrd/directdoc.asp?DDFDocuments/u/G/TBTN24/BDI487.DOCX")</f>
      </c>
      <c r="Q1572" s="6">
        <f>HYPERLINK("https://docs.wto.org/imrd/directdoc.asp?DDFDocuments/v/G/TBTN24/BDI487.DOCX", "https://docs.wto.org/imrd/directdoc.asp?DDFDocuments/v/G/TBTN24/BDI487.DOCX")</f>
      </c>
    </row>
    <row r="1573">
      <c r="A1573" s="6" t="s">
        <v>2030</v>
      </c>
      <c r="B1573" s="7">
        <v>45470</v>
      </c>
      <c r="C1573" s="6">
        <f>HYPERLINK("https://eping.wto.org/en/Search?viewData= G/TBT/N/BDI/488, G/TBT/N/KEN/1636, G/TBT/N/RWA/1037, G/TBT/N/TZA/1145, G/TBT/N/UGA/1955"," G/TBT/N/BDI/488, G/TBT/N/KEN/1636, G/TBT/N/RWA/1037, G/TBT/N/TZA/1145, G/TBT/N/UGA/1955")</f>
      </c>
      <c r="D1573" s="8" t="s">
        <v>4873</v>
      </c>
      <c r="E1573" s="8" t="s">
        <v>4874</v>
      </c>
      <c r="F1573" s="8" t="s">
        <v>4875</v>
      </c>
      <c r="G1573" s="6" t="s">
        <v>4876</v>
      </c>
      <c r="H1573" s="6" t="s">
        <v>2022</v>
      </c>
      <c r="I1573" s="6" t="s">
        <v>886</v>
      </c>
      <c r="J1573" s="6" t="s">
        <v>24</v>
      </c>
      <c r="K1573" s="6"/>
      <c r="L1573" s="7">
        <v>45530</v>
      </c>
      <c r="M1573" s="6" t="s">
        <v>25</v>
      </c>
      <c r="N1573" s="8" t="s">
        <v>4877</v>
      </c>
      <c r="O1573" s="6">
        <f>HYPERLINK("https://docs.wto.org/imrd/directdoc.asp?DDFDocuments/t/G/TBTN24/BDI488.DOCX", "https://docs.wto.org/imrd/directdoc.asp?DDFDocuments/t/G/TBTN24/BDI488.DOCX")</f>
      </c>
      <c r="P1573" s="6">
        <f>HYPERLINK("https://docs.wto.org/imrd/directdoc.asp?DDFDocuments/u/G/TBTN24/BDI488.DOCX", "https://docs.wto.org/imrd/directdoc.asp?DDFDocuments/u/G/TBTN24/BDI488.DOCX")</f>
      </c>
      <c r="Q1573" s="6">
        <f>HYPERLINK("https://docs.wto.org/imrd/directdoc.asp?DDFDocuments/v/G/TBTN24/BDI488.DOCX", "https://docs.wto.org/imrd/directdoc.asp?DDFDocuments/v/G/TBTN24/BDI488.DOCX")</f>
      </c>
    </row>
    <row r="1574">
      <c r="A1574" s="6" t="s">
        <v>160</v>
      </c>
      <c r="B1574" s="7">
        <v>45470</v>
      </c>
      <c r="C1574" s="6">
        <f>HYPERLINK("https://eping.wto.org/en/Search?viewData= G/TBT/N/USA/1398/Rev.1/Add.1"," G/TBT/N/USA/1398/Rev.1/Add.1")</f>
      </c>
      <c r="D1574" s="8" t="s">
        <v>4913</v>
      </c>
      <c r="E1574" s="8" t="s">
        <v>4914</v>
      </c>
      <c r="F1574" s="8" t="s">
        <v>4915</v>
      </c>
      <c r="G1574" s="6" t="s">
        <v>4916</v>
      </c>
      <c r="H1574" s="6" t="s">
        <v>2402</v>
      </c>
      <c r="I1574" s="6" t="s">
        <v>191</v>
      </c>
      <c r="J1574" s="6" t="s">
        <v>122</v>
      </c>
      <c r="K1574" s="6"/>
      <c r="L1574" s="7" t="s">
        <v>40</v>
      </c>
      <c r="M1574" s="6" t="s">
        <v>76</v>
      </c>
      <c r="N1574" s="8" t="s">
        <v>4917</v>
      </c>
      <c r="O1574" s="6">
        <f>HYPERLINK("https://docs.wto.org/imrd/directdoc.asp?DDFDocuments/t/G/TBTN18/USA1398R1A1.DOCX", "https://docs.wto.org/imrd/directdoc.asp?DDFDocuments/t/G/TBTN18/USA1398R1A1.DOCX")</f>
      </c>
      <c r="P1574" s="6">
        <f>HYPERLINK("https://docs.wto.org/imrd/directdoc.asp?DDFDocuments/u/G/TBTN18/USA1398R1A1.DOCX", "https://docs.wto.org/imrd/directdoc.asp?DDFDocuments/u/G/TBTN18/USA1398R1A1.DOCX")</f>
      </c>
      <c r="Q1574" s="6">
        <f>HYPERLINK("https://docs.wto.org/imrd/directdoc.asp?DDFDocuments/v/G/TBTN18/USA1398R1A1.DOCX", "https://docs.wto.org/imrd/directdoc.asp?DDFDocuments/v/G/TBTN18/USA1398R1A1.DOCX")</f>
      </c>
    </row>
    <row r="1575">
      <c r="A1575" s="6" t="s">
        <v>584</v>
      </c>
      <c r="B1575" s="7">
        <v>45470</v>
      </c>
      <c r="C1575" s="6">
        <f>HYPERLINK("https://eping.wto.org/en/Search?viewData= G/SPS/N/GBR/64"," G/SPS/N/GBR/64")</f>
      </c>
      <c r="D1575" s="8" t="s">
        <v>4918</v>
      </c>
      <c r="E1575" s="8" t="s">
        <v>4919</v>
      </c>
      <c r="F1575" s="8" t="s">
        <v>4920</v>
      </c>
      <c r="G1575" s="6" t="s">
        <v>4921</v>
      </c>
      <c r="H1575" s="6" t="s">
        <v>40</v>
      </c>
      <c r="I1575" s="6" t="s">
        <v>353</v>
      </c>
      <c r="J1575" s="6" t="s">
        <v>915</v>
      </c>
      <c r="K1575" s="6" t="s">
        <v>40</v>
      </c>
      <c r="L1575" s="7" t="s">
        <v>40</v>
      </c>
      <c r="M1575" s="6" t="s">
        <v>25</v>
      </c>
      <c r="N1575" s="6"/>
      <c r="O1575" s="6">
        <f>HYPERLINK("https://docs.wto.org/imrd/directdoc.asp?DDFDocuments/t/G/SPS/NGBR64.DOCX", "https://docs.wto.org/imrd/directdoc.asp?DDFDocuments/t/G/SPS/NGBR64.DOCX")</f>
      </c>
      <c r="P1575" s="6">
        <f>HYPERLINK("https://docs.wto.org/imrd/directdoc.asp?DDFDocuments/u/G/SPS/NGBR64.DOCX", "https://docs.wto.org/imrd/directdoc.asp?DDFDocuments/u/G/SPS/NGBR64.DOCX")</f>
      </c>
      <c r="Q1575" s="6">
        <f>HYPERLINK("https://docs.wto.org/imrd/directdoc.asp?DDFDocuments/v/G/SPS/NGBR64.DOCX", "https://docs.wto.org/imrd/directdoc.asp?DDFDocuments/v/G/SPS/NGBR64.DOCX")</f>
      </c>
    </row>
    <row r="1576">
      <c r="A1576" s="6" t="s">
        <v>880</v>
      </c>
      <c r="B1576" s="7">
        <v>45469</v>
      </c>
      <c r="C1576" s="6">
        <f>HYPERLINK("https://eping.wto.org/en/Search?viewData= G/SPS/N/BDI/111, G/SPS/N/KEN/289, G/SPS/N/RWA/104, G/SPS/N/TZA/364, G/SPS/N/UGA/338"," G/SPS/N/BDI/111, G/SPS/N/KEN/289, G/SPS/N/RWA/104, G/SPS/N/TZA/364, G/SPS/N/UGA/338")</f>
      </c>
      <c r="D1576" s="8" t="s">
        <v>4922</v>
      </c>
      <c r="E1576" s="8" t="s">
        <v>4923</v>
      </c>
      <c r="F1576" s="8" t="s">
        <v>4924</v>
      </c>
      <c r="G1576" s="6" t="s">
        <v>4876</v>
      </c>
      <c r="H1576" s="6" t="s">
        <v>2022</v>
      </c>
      <c r="I1576" s="6" t="s">
        <v>38</v>
      </c>
      <c r="J1576" s="6" t="s">
        <v>60</v>
      </c>
      <c r="K1576" s="6" t="s">
        <v>40</v>
      </c>
      <c r="L1576" s="7">
        <v>45529</v>
      </c>
      <c r="M1576" s="6" t="s">
        <v>25</v>
      </c>
      <c r="N1576" s="8" t="s">
        <v>4925</v>
      </c>
      <c r="O1576" s="6">
        <f>HYPERLINK("https://docs.wto.org/imrd/directdoc.asp?DDFDocuments/t/G/SPS/NBDI111.DOCX", "https://docs.wto.org/imrd/directdoc.asp?DDFDocuments/t/G/SPS/NBDI111.DOCX")</f>
      </c>
      <c r="P1576" s="6">
        <f>HYPERLINK("https://docs.wto.org/imrd/directdoc.asp?DDFDocuments/u/G/SPS/NBDI111.DOCX", "https://docs.wto.org/imrd/directdoc.asp?DDFDocuments/u/G/SPS/NBDI111.DOCX")</f>
      </c>
      <c r="Q1576" s="6">
        <f>HYPERLINK("https://docs.wto.org/imrd/directdoc.asp?DDFDocuments/v/G/SPS/NBDI111.DOCX", "https://docs.wto.org/imrd/directdoc.asp?DDFDocuments/v/G/SPS/NBDI111.DOCX")</f>
      </c>
    </row>
    <row r="1577">
      <c r="A1577" s="6" t="s">
        <v>2041</v>
      </c>
      <c r="B1577" s="7">
        <v>45469</v>
      </c>
      <c r="C1577" s="6">
        <f>HYPERLINK("https://eping.wto.org/en/Search?viewData= G/SPS/N/BDI/108, G/SPS/N/KEN/286, G/SPS/N/RWA/101, G/SPS/N/TZA/361, G/SPS/N/UGA/335"," G/SPS/N/BDI/108, G/SPS/N/KEN/286, G/SPS/N/RWA/101, G/SPS/N/TZA/361, G/SPS/N/UGA/335")</f>
      </c>
      <c r="D1577" s="8" t="s">
        <v>4926</v>
      </c>
      <c r="E1577" s="8" t="s">
        <v>4927</v>
      </c>
      <c r="F1577" s="8" t="s">
        <v>4928</v>
      </c>
      <c r="G1577" s="6" t="s">
        <v>4832</v>
      </c>
      <c r="H1577" s="6" t="s">
        <v>2022</v>
      </c>
      <c r="I1577" s="6" t="s">
        <v>38</v>
      </c>
      <c r="J1577" s="6" t="s">
        <v>39</v>
      </c>
      <c r="K1577" s="6" t="s">
        <v>40</v>
      </c>
      <c r="L1577" s="7">
        <v>45529</v>
      </c>
      <c r="M1577" s="6" t="s">
        <v>25</v>
      </c>
      <c r="N1577" s="8" t="s">
        <v>4929</v>
      </c>
      <c r="O1577" s="6">
        <f>HYPERLINK("https://docs.wto.org/imrd/directdoc.asp?DDFDocuments/t/G/SPS/NBDI108.DOCX", "https://docs.wto.org/imrd/directdoc.asp?DDFDocuments/t/G/SPS/NBDI108.DOCX")</f>
      </c>
      <c r="P1577" s="6">
        <f>HYPERLINK("https://docs.wto.org/imrd/directdoc.asp?DDFDocuments/u/G/SPS/NBDI108.DOCX", "https://docs.wto.org/imrd/directdoc.asp?DDFDocuments/u/G/SPS/NBDI108.DOCX")</f>
      </c>
      <c r="Q1577" s="6">
        <f>HYPERLINK("https://docs.wto.org/imrd/directdoc.asp?DDFDocuments/v/G/SPS/NBDI108.DOCX", "https://docs.wto.org/imrd/directdoc.asp?DDFDocuments/v/G/SPS/NBDI108.DOCX")</f>
      </c>
    </row>
    <row r="1578">
      <c r="A1578" s="6" t="s">
        <v>2041</v>
      </c>
      <c r="B1578" s="7">
        <v>45469</v>
      </c>
      <c r="C1578" s="6">
        <f>HYPERLINK("https://eping.wto.org/en/Search?viewData= G/SPS/N/BDI/110, G/SPS/N/KEN/288, G/SPS/N/RWA/103, G/SPS/N/TZA/363, G/SPS/N/UGA/337"," G/SPS/N/BDI/110, G/SPS/N/KEN/288, G/SPS/N/RWA/103, G/SPS/N/TZA/363, G/SPS/N/UGA/337")</f>
      </c>
      <c r="D1578" s="8" t="s">
        <v>4930</v>
      </c>
      <c r="E1578" s="8" t="s">
        <v>4931</v>
      </c>
      <c r="F1578" s="8" t="s">
        <v>4932</v>
      </c>
      <c r="G1578" s="6" t="s">
        <v>4871</v>
      </c>
      <c r="H1578" s="6" t="s">
        <v>2022</v>
      </c>
      <c r="I1578" s="6" t="s">
        <v>38</v>
      </c>
      <c r="J1578" s="6" t="s">
        <v>39</v>
      </c>
      <c r="K1578" s="6" t="s">
        <v>40</v>
      </c>
      <c r="L1578" s="7">
        <v>45529</v>
      </c>
      <c r="M1578" s="6" t="s">
        <v>25</v>
      </c>
      <c r="N1578" s="8" t="s">
        <v>4933</v>
      </c>
      <c r="O1578" s="6">
        <f>HYPERLINK("https://docs.wto.org/imrd/directdoc.asp?DDFDocuments/t/G/SPS/NBDI110.DOCX", "https://docs.wto.org/imrd/directdoc.asp?DDFDocuments/t/G/SPS/NBDI110.DOCX")</f>
      </c>
      <c r="P1578" s="6">
        <f>HYPERLINK("https://docs.wto.org/imrd/directdoc.asp?DDFDocuments/u/G/SPS/NBDI110.DOCX", "https://docs.wto.org/imrd/directdoc.asp?DDFDocuments/u/G/SPS/NBDI110.DOCX")</f>
      </c>
      <c r="Q1578" s="6">
        <f>HYPERLINK("https://docs.wto.org/imrd/directdoc.asp?DDFDocuments/v/G/SPS/NBDI110.DOCX", "https://docs.wto.org/imrd/directdoc.asp?DDFDocuments/v/G/SPS/NBDI110.DOCX")</f>
      </c>
    </row>
    <row r="1579">
      <c r="A1579" s="6" t="s">
        <v>2024</v>
      </c>
      <c r="B1579" s="7">
        <v>45469</v>
      </c>
      <c r="C1579" s="6">
        <f>HYPERLINK("https://eping.wto.org/en/Search?viewData= G/SPS/N/BDI/112, G/SPS/N/KEN/290, G/SPS/N/RWA/105, G/SPS/N/TZA/365, G/SPS/N/UGA/339"," G/SPS/N/BDI/112, G/SPS/N/KEN/290, G/SPS/N/RWA/105, G/SPS/N/TZA/365, G/SPS/N/UGA/339")</f>
      </c>
      <c r="D1579" s="8" t="s">
        <v>4934</v>
      </c>
      <c r="E1579" s="8" t="s">
        <v>4935</v>
      </c>
      <c r="F1579" s="8" t="s">
        <v>4936</v>
      </c>
      <c r="G1579" s="6" t="s">
        <v>4881</v>
      </c>
      <c r="H1579" s="6" t="s">
        <v>2022</v>
      </c>
      <c r="I1579" s="6" t="s">
        <v>38</v>
      </c>
      <c r="J1579" s="6" t="s">
        <v>39</v>
      </c>
      <c r="K1579" s="6" t="s">
        <v>40</v>
      </c>
      <c r="L1579" s="7">
        <v>45529</v>
      </c>
      <c r="M1579" s="6" t="s">
        <v>25</v>
      </c>
      <c r="N1579" s="8" t="s">
        <v>4937</v>
      </c>
      <c r="O1579" s="6">
        <f>HYPERLINK("https://docs.wto.org/imrd/directdoc.asp?DDFDocuments/t/G/SPS/NBDI112.DOCX", "https://docs.wto.org/imrd/directdoc.asp?DDFDocuments/t/G/SPS/NBDI112.DOCX")</f>
      </c>
      <c r="P1579" s="6">
        <f>HYPERLINK("https://docs.wto.org/imrd/directdoc.asp?DDFDocuments/u/G/SPS/NBDI112.DOCX", "https://docs.wto.org/imrd/directdoc.asp?DDFDocuments/u/G/SPS/NBDI112.DOCX")</f>
      </c>
      <c r="Q1579" s="6">
        <f>HYPERLINK("https://docs.wto.org/imrd/directdoc.asp?DDFDocuments/v/G/SPS/NBDI112.DOCX", "https://docs.wto.org/imrd/directdoc.asp?DDFDocuments/v/G/SPS/NBDI112.DOCX")</f>
      </c>
    </row>
    <row r="1580">
      <c r="A1580" s="6" t="s">
        <v>307</v>
      </c>
      <c r="B1580" s="7">
        <v>45469</v>
      </c>
      <c r="C1580" s="6">
        <f>HYPERLINK("https://eping.wto.org/en/Search?viewData= G/TBT/N/CAN/727"," G/TBT/N/CAN/727")</f>
      </c>
      <c r="D1580" s="8" t="s">
        <v>4938</v>
      </c>
      <c r="E1580" s="8" t="s">
        <v>4939</v>
      </c>
      <c r="F1580" s="8" t="s">
        <v>4940</v>
      </c>
      <c r="G1580" s="6" t="s">
        <v>4941</v>
      </c>
      <c r="H1580" s="6" t="s">
        <v>4942</v>
      </c>
      <c r="I1580" s="6" t="s">
        <v>142</v>
      </c>
      <c r="J1580" s="6" t="s">
        <v>40</v>
      </c>
      <c r="K1580" s="6"/>
      <c r="L1580" s="7">
        <v>45535</v>
      </c>
      <c r="M1580" s="6" t="s">
        <v>25</v>
      </c>
      <c r="N1580" s="8" t="s">
        <v>4943</v>
      </c>
      <c r="O1580" s="6">
        <f>HYPERLINK("https://docs.wto.org/imrd/directdoc.asp?DDFDocuments/t/G/TBTN24/CAN727.DOCX", "https://docs.wto.org/imrd/directdoc.asp?DDFDocuments/t/G/TBTN24/CAN727.DOCX")</f>
      </c>
      <c r="P1580" s="6">
        <f>HYPERLINK("https://docs.wto.org/imrd/directdoc.asp?DDFDocuments/u/G/TBTN24/CAN727.DOCX", "https://docs.wto.org/imrd/directdoc.asp?DDFDocuments/u/G/TBTN24/CAN727.DOCX")</f>
      </c>
      <c r="Q1580" s="6">
        <f>HYPERLINK("https://docs.wto.org/imrd/directdoc.asp?DDFDocuments/v/G/TBTN24/CAN727.DOCX", "https://docs.wto.org/imrd/directdoc.asp?DDFDocuments/v/G/TBTN24/CAN727.DOCX")</f>
      </c>
    </row>
    <row r="1581">
      <c r="A1581" s="6" t="s">
        <v>2024</v>
      </c>
      <c r="B1581" s="7">
        <v>45469</v>
      </c>
      <c r="C1581" s="6">
        <f>HYPERLINK("https://eping.wto.org/en/Search?viewData= G/SPS/N/BDI/113, G/SPS/N/KEN/291, G/SPS/N/RWA/106, G/SPS/N/TZA/366, G/SPS/N/UGA/340"," G/SPS/N/BDI/113, G/SPS/N/KEN/291, G/SPS/N/RWA/106, G/SPS/N/TZA/366, G/SPS/N/UGA/340")</f>
      </c>
      <c r="D1581" s="8" t="s">
        <v>4944</v>
      </c>
      <c r="E1581" s="8" t="s">
        <v>4945</v>
      </c>
      <c r="F1581" s="8" t="s">
        <v>4946</v>
      </c>
      <c r="G1581" s="6" t="s">
        <v>4846</v>
      </c>
      <c r="H1581" s="6" t="s">
        <v>2022</v>
      </c>
      <c r="I1581" s="6" t="s">
        <v>38</v>
      </c>
      <c r="J1581" s="6" t="s">
        <v>39</v>
      </c>
      <c r="K1581" s="6" t="s">
        <v>40</v>
      </c>
      <c r="L1581" s="7">
        <v>45529</v>
      </c>
      <c r="M1581" s="6" t="s">
        <v>25</v>
      </c>
      <c r="N1581" s="8" t="s">
        <v>4947</v>
      </c>
      <c r="O1581" s="6">
        <f>HYPERLINK("https://docs.wto.org/imrd/directdoc.asp?DDFDocuments/t/G/SPS/NBDI113.DOCX", "https://docs.wto.org/imrd/directdoc.asp?DDFDocuments/t/G/SPS/NBDI113.DOCX")</f>
      </c>
      <c r="P1581" s="6">
        <f>HYPERLINK("https://docs.wto.org/imrd/directdoc.asp?DDFDocuments/u/G/SPS/NBDI113.DOCX", "https://docs.wto.org/imrd/directdoc.asp?DDFDocuments/u/G/SPS/NBDI113.DOCX")</f>
      </c>
      <c r="Q1581" s="6">
        <f>HYPERLINK("https://docs.wto.org/imrd/directdoc.asp?DDFDocuments/v/G/SPS/NBDI113.DOCX", "https://docs.wto.org/imrd/directdoc.asp?DDFDocuments/v/G/SPS/NBDI113.DOCX")</f>
      </c>
    </row>
    <row r="1582">
      <c r="A1582" s="6" t="s">
        <v>198</v>
      </c>
      <c r="B1582" s="7">
        <v>45469</v>
      </c>
      <c r="C1582" s="6">
        <f>HYPERLINK("https://eping.wto.org/en/Search?viewData= G/TBT/N/CHL/686"," G/TBT/N/CHL/686")</f>
      </c>
      <c r="D1582" s="8" t="s">
        <v>4948</v>
      </c>
      <c r="E1582" s="8" t="s">
        <v>4949</v>
      </c>
      <c r="F1582" s="8" t="s">
        <v>4950</v>
      </c>
      <c r="G1582" s="6" t="s">
        <v>40</v>
      </c>
      <c r="H1582" s="6" t="s">
        <v>40</v>
      </c>
      <c r="I1582" s="6" t="s">
        <v>147</v>
      </c>
      <c r="J1582" s="6" t="s">
        <v>24</v>
      </c>
      <c r="K1582" s="6"/>
      <c r="L1582" s="7">
        <v>45529</v>
      </c>
      <c r="M1582" s="6" t="s">
        <v>25</v>
      </c>
      <c r="N1582" s="8" t="s">
        <v>4951</v>
      </c>
      <c r="O1582" s="6">
        <f>HYPERLINK("https://docs.wto.org/imrd/directdoc.asp?DDFDocuments/t/G/TBTN24/CHL686.DOCX", "https://docs.wto.org/imrd/directdoc.asp?DDFDocuments/t/G/TBTN24/CHL686.DOCX")</f>
      </c>
      <c r="P1582" s="6">
        <f>HYPERLINK("https://docs.wto.org/imrd/directdoc.asp?DDFDocuments/u/G/TBTN24/CHL686.DOCX", "https://docs.wto.org/imrd/directdoc.asp?DDFDocuments/u/G/TBTN24/CHL686.DOCX")</f>
      </c>
      <c r="Q1582" s="6">
        <f>HYPERLINK("https://docs.wto.org/imrd/directdoc.asp?DDFDocuments/v/G/TBTN24/CHL686.DOCX", "https://docs.wto.org/imrd/directdoc.asp?DDFDocuments/v/G/TBTN24/CHL686.DOCX")</f>
      </c>
    </row>
    <row r="1583">
      <c r="A1583" s="6" t="s">
        <v>2024</v>
      </c>
      <c r="B1583" s="7">
        <v>45469</v>
      </c>
      <c r="C1583" s="6">
        <f>HYPERLINK("https://eping.wto.org/en/Search?viewData= G/SPS/N/BDI/110, G/SPS/N/KEN/288, G/SPS/N/RWA/103, G/SPS/N/TZA/363, G/SPS/N/UGA/337"," G/SPS/N/BDI/110, G/SPS/N/KEN/288, G/SPS/N/RWA/103, G/SPS/N/TZA/363, G/SPS/N/UGA/337")</f>
      </c>
      <c r="D1583" s="8" t="s">
        <v>4930</v>
      </c>
      <c r="E1583" s="8" t="s">
        <v>4931</v>
      </c>
      <c r="F1583" s="8" t="s">
        <v>4932</v>
      </c>
      <c r="G1583" s="6" t="s">
        <v>4871</v>
      </c>
      <c r="H1583" s="6" t="s">
        <v>2022</v>
      </c>
      <c r="I1583" s="6" t="s">
        <v>38</v>
      </c>
      <c r="J1583" s="6" t="s">
        <v>39</v>
      </c>
      <c r="K1583" s="6" t="s">
        <v>40</v>
      </c>
      <c r="L1583" s="7">
        <v>45529</v>
      </c>
      <c r="M1583" s="6" t="s">
        <v>25</v>
      </c>
      <c r="N1583" s="8" t="s">
        <v>4933</v>
      </c>
      <c r="O1583" s="6">
        <f>HYPERLINK("https://docs.wto.org/imrd/directdoc.asp?DDFDocuments/t/G/SPS/NBDI110.DOCX", "https://docs.wto.org/imrd/directdoc.asp?DDFDocuments/t/G/SPS/NBDI110.DOCX")</f>
      </c>
      <c r="P1583" s="6">
        <f>HYPERLINK("https://docs.wto.org/imrd/directdoc.asp?DDFDocuments/u/G/SPS/NBDI110.DOCX", "https://docs.wto.org/imrd/directdoc.asp?DDFDocuments/u/G/SPS/NBDI110.DOCX")</f>
      </c>
      <c r="Q1583" s="6">
        <f>HYPERLINK("https://docs.wto.org/imrd/directdoc.asp?DDFDocuments/v/G/SPS/NBDI110.DOCX", "https://docs.wto.org/imrd/directdoc.asp?DDFDocuments/v/G/SPS/NBDI110.DOCX")</f>
      </c>
    </row>
    <row r="1584">
      <c r="A1584" s="6" t="s">
        <v>2024</v>
      </c>
      <c r="B1584" s="7">
        <v>45469</v>
      </c>
      <c r="C1584" s="6">
        <f>HYPERLINK("https://eping.wto.org/en/Search?viewData= G/SPS/N/BDI/111, G/SPS/N/KEN/289, G/SPS/N/RWA/104, G/SPS/N/TZA/364, G/SPS/N/UGA/338"," G/SPS/N/BDI/111, G/SPS/N/KEN/289, G/SPS/N/RWA/104, G/SPS/N/TZA/364, G/SPS/N/UGA/338")</f>
      </c>
      <c r="D1584" s="8" t="s">
        <v>4922</v>
      </c>
      <c r="E1584" s="8" t="s">
        <v>4923</v>
      </c>
      <c r="F1584" s="8" t="s">
        <v>4924</v>
      </c>
      <c r="G1584" s="6" t="s">
        <v>4876</v>
      </c>
      <c r="H1584" s="6" t="s">
        <v>2022</v>
      </c>
      <c r="I1584" s="6" t="s">
        <v>38</v>
      </c>
      <c r="J1584" s="6" t="s">
        <v>39</v>
      </c>
      <c r="K1584" s="6" t="s">
        <v>40</v>
      </c>
      <c r="L1584" s="7">
        <v>45529</v>
      </c>
      <c r="M1584" s="6" t="s">
        <v>25</v>
      </c>
      <c r="N1584" s="8" t="s">
        <v>4925</v>
      </c>
      <c r="O1584" s="6">
        <f>HYPERLINK("https://docs.wto.org/imrd/directdoc.asp?DDFDocuments/t/G/SPS/NBDI111.DOCX", "https://docs.wto.org/imrd/directdoc.asp?DDFDocuments/t/G/SPS/NBDI111.DOCX")</f>
      </c>
      <c r="P1584" s="6">
        <f>HYPERLINK("https://docs.wto.org/imrd/directdoc.asp?DDFDocuments/u/G/SPS/NBDI111.DOCX", "https://docs.wto.org/imrd/directdoc.asp?DDFDocuments/u/G/SPS/NBDI111.DOCX")</f>
      </c>
      <c r="Q1584" s="6">
        <f>HYPERLINK("https://docs.wto.org/imrd/directdoc.asp?DDFDocuments/v/G/SPS/NBDI111.DOCX", "https://docs.wto.org/imrd/directdoc.asp?DDFDocuments/v/G/SPS/NBDI111.DOCX")</f>
      </c>
    </row>
    <row r="1585">
      <c r="A1585" s="6" t="s">
        <v>2041</v>
      </c>
      <c r="B1585" s="7">
        <v>45469</v>
      </c>
      <c r="C1585" s="6">
        <f>HYPERLINK("https://eping.wto.org/en/Search?viewData= G/SPS/N/BDI/112, G/SPS/N/KEN/290, G/SPS/N/RWA/105, G/SPS/N/TZA/365, G/SPS/N/UGA/339"," G/SPS/N/BDI/112, G/SPS/N/KEN/290, G/SPS/N/RWA/105, G/SPS/N/TZA/365, G/SPS/N/UGA/339")</f>
      </c>
      <c r="D1585" s="8" t="s">
        <v>4934</v>
      </c>
      <c r="E1585" s="8" t="s">
        <v>4935</v>
      </c>
      <c r="F1585" s="8" t="s">
        <v>4936</v>
      </c>
      <c r="G1585" s="6" t="s">
        <v>4881</v>
      </c>
      <c r="H1585" s="6" t="s">
        <v>2022</v>
      </c>
      <c r="I1585" s="6" t="s">
        <v>38</v>
      </c>
      <c r="J1585" s="6" t="s">
        <v>39</v>
      </c>
      <c r="K1585" s="6" t="s">
        <v>40</v>
      </c>
      <c r="L1585" s="7">
        <v>45529</v>
      </c>
      <c r="M1585" s="6" t="s">
        <v>25</v>
      </c>
      <c r="N1585" s="8" t="s">
        <v>4937</v>
      </c>
      <c r="O1585" s="6">
        <f>HYPERLINK("https://docs.wto.org/imrd/directdoc.asp?DDFDocuments/t/G/SPS/NBDI112.DOCX", "https://docs.wto.org/imrd/directdoc.asp?DDFDocuments/t/G/SPS/NBDI112.DOCX")</f>
      </c>
      <c r="P1585" s="6">
        <f>HYPERLINK("https://docs.wto.org/imrd/directdoc.asp?DDFDocuments/u/G/SPS/NBDI112.DOCX", "https://docs.wto.org/imrd/directdoc.asp?DDFDocuments/u/G/SPS/NBDI112.DOCX")</f>
      </c>
      <c r="Q1585" s="6">
        <f>HYPERLINK("https://docs.wto.org/imrd/directdoc.asp?DDFDocuments/v/G/SPS/NBDI112.DOCX", "https://docs.wto.org/imrd/directdoc.asp?DDFDocuments/v/G/SPS/NBDI112.DOCX")</f>
      </c>
    </row>
    <row r="1586">
      <c r="A1586" s="6" t="s">
        <v>419</v>
      </c>
      <c r="B1586" s="7">
        <v>45469</v>
      </c>
      <c r="C1586" s="6">
        <f>HYPERLINK("https://eping.wto.org/en/Search?viewData= G/TBT/N/JPN/816"," G/TBT/N/JPN/816")</f>
      </c>
      <c r="D1586" s="8" t="s">
        <v>4952</v>
      </c>
      <c r="E1586" s="8" t="s">
        <v>4953</v>
      </c>
      <c r="F1586" s="8" t="s">
        <v>4954</v>
      </c>
      <c r="G1586" s="6" t="s">
        <v>4955</v>
      </c>
      <c r="H1586" s="6" t="s">
        <v>93</v>
      </c>
      <c r="I1586" s="6" t="s">
        <v>142</v>
      </c>
      <c r="J1586" s="6" t="s">
        <v>95</v>
      </c>
      <c r="K1586" s="6"/>
      <c r="L1586" s="7">
        <v>45499</v>
      </c>
      <c r="M1586" s="6" t="s">
        <v>25</v>
      </c>
      <c r="N1586" s="8" t="s">
        <v>4956</v>
      </c>
      <c r="O1586" s="6">
        <f>HYPERLINK("https://docs.wto.org/imrd/directdoc.asp?DDFDocuments/t/G/TBTN24/JPN816.DOCX", "https://docs.wto.org/imrd/directdoc.asp?DDFDocuments/t/G/TBTN24/JPN816.DOCX")</f>
      </c>
      <c r="P1586" s="6">
        <f>HYPERLINK("https://docs.wto.org/imrd/directdoc.asp?DDFDocuments/u/G/TBTN24/JPN816.DOCX", "https://docs.wto.org/imrd/directdoc.asp?DDFDocuments/u/G/TBTN24/JPN816.DOCX")</f>
      </c>
      <c r="Q1586" s="6">
        <f>HYPERLINK("https://docs.wto.org/imrd/directdoc.asp?DDFDocuments/v/G/TBTN24/JPN816.DOCX", "https://docs.wto.org/imrd/directdoc.asp?DDFDocuments/v/G/TBTN24/JPN816.DOCX")</f>
      </c>
    </row>
    <row r="1587">
      <c r="A1587" s="6" t="s">
        <v>515</v>
      </c>
      <c r="B1587" s="7">
        <v>45469</v>
      </c>
      <c r="C1587" s="6">
        <f>HYPERLINK("https://eping.wto.org/en/Search?viewData= G/SPS/N/EU/774"," G/SPS/N/EU/774")</f>
      </c>
      <c r="D1587" s="8" t="s">
        <v>4957</v>
      </c>
      <c r="E1587" s="8" t="s">
        <v>4958</v>
      </c>
      <c r="F1587" s="8" t="s">
        <v>4959</v>
      </c>
      <c r="G1587" s="6" t="s">
        <v>4851</v>
      </c>
      <c r="H1587" s="6" t="s">
        <v>40</v>
      </c>
      <c r="I1587" s="6" t="s">
        <v>38</v>
      </c>
      <c r="J1587" s="6" t="s">
        <v>60</v>
      </c>
      <c r="K1587" s="6"/>
      <c r="L1587" s="7">
        <v>45529</v>
      </c>
      <c r="M1587" s="6" t="s">
        <v>25</v>
      </c>
      <c r="N1587" s="8" t="s">
        <v>4960</v>
      </c>
      <c r="O1587" s="6">
        <f>HYPERLINK("https://docs.wto.org/imrd/directdoc.asp?DDFDocuments/t/G/SPS/NEU774.DOCX", "https://docs.wto.org/imrd/directdoc.asp?DDFDocuments/t/G/SPS/NEU774.DOCX")</f>
      </c>
      <c r="P1587" s="6">
        <f>HYPERLINK("https://docs.wto.org/imrd/directdoc.asp?DDFDocuments/u/G/SPS/NEU774.DOCX", "https://docs.wto.org/imrd/directdoc.asp?DDFDocuments/u/G/SPS/NEU774.DOCX")</f>
      </c>
      <c r="Q1587" s="6">
        <f>HYPERLINK("https://docs.wto.org/imrd/directdoc.asp?DDFDocuments/v/G/SPS/NEU774.DOCX", "https://docs.wto.org/imrd/directdoc.asp?DDFDocuments/v/G/SPS/NEU774.DOCX")</f>
      </c>
    </row>
    <row r="1588">
      <c r="A1588" s="6" t="s">
        <v>880</v>
      </c>
      <c r="B1588" s="7">
        <v>45469</v>
      </c>
      <c r="C1588" s="6">
        <f>HYPERLINK("https://eping.wto.org/en/Search?viewData= G/SPS/N/BDI/108, G/SPS/N/KEN/286, G/SPS/N/RWA/101, G/SPS/N/TZA/361, G/SPS/N/UGA/335"," G/SPS/N/BDI/108, G/SPS/N/KEN/286, G/SPS/N/RWA/101, G/SPS/N/TZA/361, G/SPS/N/UGA/335")</f>
      </c>
      <c r="D1588" s="8" t="s">
        <v>4926</v>
      </c>
      <c r="E1588" s="8" t="s">
        <v>4927</v>
      </c>
      <c r="F1588" s="8" t="s">
        <v>4928</v>
      </c>
      <c r="G1588" s="6" t="s">
        <v>4832</v>
      </c>
      <c r="H1588" s="6" t="s">
        <v>2022</v>
      </c>
      <c r="I1588" s="6" t="s">
        <v>38</v>
      </c>
      <c r="J1588" s="6" t="s">
        <v>60</v>
      </c>
      <c r="K1588" s="6" t="s">
        <v>40</v>
      </c>
      <c r="L1588" s="7">
        <v>45529</v>
      </c>
      <c r="M1588" s="6" t="s">
        <v>25</v>
      </c>
      <c r="N1588" s="8" t="s">
        <v>4929</v>
      </c>
      <c r="O1588" s="6">
        <f>HYPERLINK("https://docs.wto.org/imrd/directdoc.asp?DDFDocuments/t/G/SPS/NBDI108.DOCX", "https://docs.wto.org/imrd/directdoc.asp?DDFDocuments/t/G/SPS/NBDI108.DOCX")</f>
      </c>
      <c r="P1588" s="6">
        <f>HYPERLINK("https://docs.wto.org/imrd/directdoc.asp?DDFDocuments/u/G/SPS/NBDI108.DOCX", "https://docs.wto.org/imrd/directdoc.asp?DDFDocuments/u/G/SPS/NBDI108.DOCX")</f>
      </c>
      <c r="Q1588" s="6">
        <f>HYPERLINK("https://docs.wto.org/imrd/directdoc.asp?DDFDocuments/v/G/SPS/NBDI108.DOCX", "https://docs.wto.org/imrd/directdoc.asp?DDFDocuments/v/G/SPS/NBDI108.DOCX")</f>
      </c>
    </row>
    <row r="1589">
      <c r="A1589" s="6" t="s">
        <v>2024</v>
      </c>
      <c r="B1589" s="7">
        <v>45469</v>
      </c>
      <c r="C1589" s="6">
        <f>HYPERLINK("https://eping.wto.org/en/Search?viewData= G/SPS/N/BDI/108, G/SPS/N/KEN/286, G/SPS/N/RWA/101, G/SPS/N/TZA/361, G/SPS/N/UGA/335"," G/SPS/N/BDI/108, G/SPS/N/KEN/286, G/SPS/N/RWA/101, G/SPS/N/TZA/361, G/SPS/N/UGA/335")</f>
      </c>
      <c r="D1589" s="8" t="s">
        <v>4926</v>
      </c>
      <c r="E1589" s="8" t="s">
        <v>4927</v>
      </c>
      <c r="F1589" s="8" t="s">
        <v>4928</v>
      </c>
      <c r="G1589" s="6" t="s">
        <v>4832</v>
      </c>
      <c r="H1589" s="6" t="s">
        <v>2022</v>
      </c>
      <c r="I1589" s="6" t="s">
        <v>38</v>
      </c>
      <c r="J1589" s="6" t="s">
        <v>39</v>
      </c>
      <c r="K1589" s="6" t="s">
        <v>40</v>
      </c>
      <c r="L1589" s="7">
        <v>45529</v>
      </c>
      <c r="M1589" s="6" t="s">
        <v>25</v>
      </c>
      <c r="N1589" s="8" t="s">
        <v>4929</v>
      </c>
      <c r="O1589" s="6">
        <f>HYPERLINK("https://docs.wto.org/imrd/directdoc.asp?DDFDocuments/t/G/SPS/NBDI108.DOCX", "https://docs.wto.org/imrd/directdoc.asp?DDFDocuments/t/G/SPS/NBDI108.DOCX")</f>
      </c>
      <c r="P1589" s="6">
        <f>HYPERLINK("https://docs.wto.org/imrd/directdoc.asp?DDFDocuments/u/G/SPS/NBDI108.DOCX", "https://docs.wto.org/imrd/directdoc.asp?DDFDocuments/u/G/SPS/NBDI108.DOCX")</f>
      </c>
      <c r="Q1589" s="6">
        <f>HYPERLINK("https://docs.wto.org/imrd/directdoc.asp?DDFDocuments/v/G/SPS/NBDI108.DOCX", "https://docs.wto.org/imrd/directdoc.asp?DDFDocuments/v/G/SPS/NBDI108.DOCX")</f>
      </c>
    </row>
    <row r="1590">
      <c r="A1590" s="6" t="s">
        <v>17</v>
      </c>
      <c r="B1590" s="7">
        <v>45469</v>
      </c>
      <c r="C1590" s="6">
        <f>HYPERLINK("https://eping.wto.org/en/Search?viewData= G/SPS/N/BDI/110, G/SPS/N/KEN/288, G/SPS/N/RWA/103, G/SPS/N/TZA/363, G/SPS/N/UGA/337"," G/SPS/N/BDI/110, G/SPS/N/KEN/288, G/SPS/N/RWA/103, G/SPS/N/TZA/363, G/SPS/N/UGA/337")</f>
      </c>
      <c r="D1590" s="8" t="s">
        <v>4930</v>
      </c>
      <c r="E1590" s="8" t="s">
        <v>4931</v>
      </c>
      <c r="F1590" s="8" t="s">
        <v>4932</v>
      </c>
      <c r="G1590" s="6" t="s">
        <v>4871</v>
      </c>
      <c r="H1590" s="6" t="s">
        <v>2022</v>
      </c>
      <c r="I1590" s="6" t="s">
        <v>38</v>
      </c>
      <c r="J1590" s="6" t="s">
        <v>39</v>
      </c>
      <c r="K1590" s="6" t="s">
        <v>40</v>
      </c>
      <c r="L1590" s="7">
        <v>45529</v>
      </c>
      <c r="M1590" s="6" t="s">
        <v>25</v>
      </c>
      <c r="N1590" s="8" t="s">
        <v>4933</v>
      </c>
      <c r="O1590" s="6">
        <f>HYPERLINK("https://docs.wto.org/imrd/directdoc.asp?DDFDocuments/t/G/SPS/NBDI110.DOCX", "https://docs.wto.org/imrd/directdoc.asp?DDFDocuments/t/G/SPS/NBDI110.DOCX")</f>
      </c>
      <c r="P1590" s="6">
        <f>HYPERLINK("https://docs.wto.org/imrd/directdoc.asp?DDFDocuments/u/G/SPS/NBDI110.DOCX", "https://docs.wto.org/imrd/directdoc.asp?DDFDocuments/u/G/SPS/NBDI110.DOCX")</f>
      </c>
      <c r="Q1590" s="6">
        <f>HYPERLINK("https://docs.wto.org/imrd/directdoc.asp?DDFDocuments/v/G/SPS/NBDI110.DOCX", "https://docs.wto.org/imrd/directdoc.asp?DDFDocuments/v/G/SPS/NBDI110.DOCX")</f>
      </c>
    </row>
    <row r="1591">
      <c r="A1591" s="6" t="s">
        <v>2030</v>
      </c>
      <c r="B1591" s="7">
        <v>45469</v>
      </c>
      <c r="C1591" s="6">
        <f>HYPERLINK("https://eping.wto.org/en/Search?viewData= G/SPS/N/BDI/110, G/SPS/N/KEN/288, G/SPS/N/RWA/103, G/SPS/N/TZA/363, G/SPS/N/UGA/337"," G/SPS/N/BDI/110, G/SPS/N/KEN/288, G/SPS/N/RWA/103, G/SPS/N/TZA/363, G/SPS/N/UGA/337")</f>
      </c>
      <c r="D1591" s="8" t="s">
        <v>4930</v>
      </c>
      <c r="E1591" s="8" t="s">
        <v>4931</v>
      </c>
      <c r="F1591" s="8" t="s">
        <v>4932</v>
      </c>
      <c r="G1591" s="6" t="s">
        <v>4871</v>
      </c>
      <c r="H1591" s="6" t="s">
        <v>2022</v>
      </c>
      <c r="I1591" s="6" t="s">
        <v>38</v>
      </c>
      <c r="J1591" s="6" t="s">
        <v>39</v>
      </c>
      <c r="K1591" s="6" t="s">
        <v>40</v>
      </c>
      <c r="L1591" s="7">
        <v>45529</v>
      </c>
      <c r="M1591" s="6" t="s">
        <v>25</v>
      </c>
      <c r="N1591" s="8" t="s">
        <v>4933</v>
      </c>
      <c r="O1591" s="6">
        <f>HYPERLINK("https://docs.wto.org/imrd/directdoc.asp?DDFDocuments/t/G/SPS/NBDI110.DOCX", "https://docs.wto.org/imrd/directdoc.asp?DDFDocuments/t/G/SPS/NBDI110.DOCX")</f>
      </c>
      <c r="P1591" s="6">
        <f>HYPERLINK("https://docs.wto.org/imrd/directdoc.asp?DDFDocuments/u/G/SPS/NBDI110.DOCX", "https://docs.wto.org/imrd/directdoc.asp?DDFDocuments/u/G/SPS/NBDI110.DOCX")</f>
      </c>
      <c r="Q1591" s="6">
        <f>HYPERLINK("https://docs.wto.org/imrd/directdoc.asp?DDFDocuments/v/G/SPS/NBDI110.DOCX", "https://docs.wto.org/imrd/directdoc.asp?DDFDocuments/v/G/SPS/NBDI110.DOCX")</f>
      </c>
    </row>
    <row r="1592">
      <c r="A1592" s="6" t="s">
        <v>2030</v>
      </c>
      <c r="B1592" s="7">
        <v>45469</v>
      </c>
      <c r="C1592" s="6">
        <f>HYPERLINK("https://eping.wto.org/en/Search?viewData= G/SPS/N/BDI/111, G/SPS/N/KEN/289, G/SPS/N/RWA/104, G/SPS/N/TZA/364, G/SPS/N/UGA/338"," G/SPS/N/BDI/111, G/SPS/N/KEN/289, G/SPS/N/RWA/104, G/SPS/N/TZA/364, G/SPS/N/UGA/338")</f>
      </c>
      <c r="D1592" s="8" t="s">
        <v>4922</v>
      </c>
      <c r="E1592" s="8" t="s">
        <v>4923</v>
      </c>
      <c r="F1592" s="8" t="s">
        <v>4924</v>
      </c>
      <c r="G1592" s="6" t="s">
        <v>4876</v>
      </c>
      <c r="H1592" s="6" t="s">
        <v>2022</v>
      </c>
      <c r="I1592" s="6" t="s">
        <v>38</v>
      </c>
      <c r="J1592" s="6" t="s">
        <v>39</v>
      </c>
      <c r="K1592" s="6" t="s">
        <v>40</v>
      </c>
      <c r="L1592" s="7">
        <v>45529</v>
      </c>
      <c r="M1592" s="6" t="s">
        <v>25</v>
      </c>
      <c r="N1592" s="8" t="s">
        <v>4925</v>
      </c>
      <c r="O1592" s="6">
        <f>HYPERLINK("https://docs.wto.org/imrd/directdoc.asp?DDFDocuments/t/G/SPS/NBDI111.DOCX", "https://docs.wto.org/imrd/directdoc.asp?DDFDocuments/t/G/SPS/NBDI111.DOCX")</f>
      </c>
      <c r="P1592" s="6">
        <f>HYPERLINK("https://docs.wto.org/imrd/directdoc.asp?DDFDocuments/u/G/SPS/NBDI111.DOCX", "https://docs.wto.org/imrd/directdoc.asp?DDFDocuments/u/G/SPS/NBDI111.DOCX")</f>
      </c>
      <c r="Q1592" s="6">
        <f>HYPERLINK("https://docs.wto.org/imrd/directdoc.asp?DDFDocuments/v/G/SPS/NBDI111.DOCX", "https://docs.wto.org/imrd/directdoc.asp?DDFDocuments/v/G/SPS/NBDI111.DOCX")</f>
      </c>
    </row>
    <row r="1593">
      <c r="A1593" s="6" t="s">
        <v>515</v>
      </c>
      <c r="B1593" s="7">
        <v>45469</v>
      </c>
      <c r="C1593" s="6">
        <f>HYPERLINK("https://eping.wto.org/en/Search?viewData= G/SPS/N/EU/775"," G/SPS/N/EU/775")</f>
      </c>
      <c r="D1593" s="8" t="s">
        <v>4961</v>
      </c>
      <c r="E1593" s="8" t="s">
        <v>4962</v>
      </c>
      <c r="F1593" s="8" t="s">
        <v>3611</v>
      </c>
      <c r="G1593" s="6" t="s">
        <v>4963</v>
      </c>
      <c r="H1593" s="6" t="s">
        <v>40</v>
      </c>
      <c r="I1593" s="6" t="s">
        <v>38</v>
      </c>
      <c r="J1593" s="6" t="s">
        <v>103</v>
      </c>
      <c r="K1593" s="6"/>
      <c r="L1593" s="7">
        <v>45529</v>
      </c>
      <c r="M1593" s="6" t="s">
        <v>25</v>
      </c>
      <c r="N1593" s="8" t="s">
        <v>4964</v>
      </c>
      <c r="O1593" s="6">
        <f>HYPERLINK("https://docs.wto.org/imrd/directdoc.asp?DDFDocuments/t/G/SPS/NEU775.DOCX", "https://docs.wto.org/imrd/directdoc.asp?DDFDocuments/t/G/SPS/NEU775.DOCX")</f>
      </c>
      <c r="P1593" s="6">
        <f>HYPERLINK("https://docs.wto.org/imrd/directdoc.asp?DDFDocuments/u/G/SPS/NEU775.DOCX", "https://docs.wto.org/imrd/directdoc.asp?DDFDocuments/u/G/SPS/NEU775.DOCX")</f>
      </c>
      <c r="Q1593" s="6">
        <f>HYPERLINK("https://docs.wto.org/imrd/directdoc.asp?DDFDocuments/v/G/SPS/NEU775.DOCX", "https://docs.wto.org/imrd/directdoc.asp?DDFDocuments/v/G/SPS/NEU775.DOCX")</f>
      </c>
    </row>
    <row r="1594">
      <c r="A1594" s="6" t="s">
        <v>198</v>
      </c>
      <c r="B1594" s="7">
        <v>45469</v>
      </c>
      <c r="C1594" s="6">
        <f>HYPERLINK("https://eping.wto.org/en/Search?viewData= G/TBT/N/CHL/687"," G/TBT/N/CHL/687")</f>
      </c>
      <c r="D1594" s="8" t="s">
        <v>4965</v>
      </c>
      <c r="E1594" s="8" t="s">
        <v>4966</v>
      </c>
      <c r="F1594" s="8" t="s">
        <v>4967</v>
      </c>
      <c r="G1594" s="6" t="s">
        <v>40</v>
      </c>
      <c r="H1594" s="6" t="s">
        <v>4968</v>
      </c>
      <c r="I1594" s="6" t="s">
        <v>147</v>
      </c>
      <c r="J1594" s="6" t="s">
        <v>40</v>
      </c>
      <c r="K1594" s="6"/>
      <c r="L1594" s="7">
        <v>45529</v>
      </c>
      <c r="M1594" s="6" t="s">
        <v>25</v>
      </c>
      <c r="N1594" s="8" t="s">
        <v>4969</v>
      </c>
      <c r="O1594" s="6">
        <f>HYPERLINK("https://docs.wto.org/imrd/directdoc.asp?DDFDocuments/t/G/TBTN24/CHL687.DOCX", "https://docs.wto.org/imrd/directdoc.asp?DDFDocuments/t/G/TBTN24/CHL687.DOCX")</f>
      </c>
      <c r="P1594" s="6">
        <f>HYPERLINK("https://docs.wto.org/imrd/directdoc.asp?DDFDocuments/u/G/TBTN24/CHL687.DOCX", "https://docs.wto.org/imrd/directdoc.asp?DDFDocuments/u/G/TBTN24/CHL687.DOCX")</f>
      </c>
      <c r="Q1594" s="6">
        <f>HYPERLINK("https://docs.wto.org/imrd/directdoc.asp?DDFDocuments/v/G/TBTN24/CHL687.DOCX", "https://docs.wto.org/imrd/directdoc.asp?DDFDocuments/v/G/TBTN24/CHL687.DOCX")</f>
      </c>
    </row>
    <row r="1595">
      <c r="A1595" s="6" t="s">
        <v>198</v>
      </c>
      <c r="B1595" s="7">
        <v>45469</v>
      </c>
      <c r="C1595" s="6">
        <f>HYPERLINK("https://eping.wto.org/en/Search?viewData= G/SPS/N/CHL/793"," G/SPS/N/CHL/793")</f>
      </c>
      <c r="D1595" s="8" t="s">
        <v>4970</v>
      </c>
      <c r="E1595" s="8" t="s">
        <v>4971</v>
      </c>
      <c r="F1595" s="8" t="s">
        <v>4972</v>
      </c>
      <c r="G1595" s="6" t="s">
        <v>4973</v>
      </c>
      <c r="H1595" s="6" t="s">
        <v>40</v>
      </c>
      <c r="I1595" s="6" t="s">
        <v>369</v>
      </c>
      <c r="J1595" s="6" t="s">
        <v>4974</v>
      </c>
      <c r="K1595" s="6" t="s">
        <v>40</v>
      </c>
      <c r="L1595" s="7" t="s">
        <v>40</v>
      </c>
      <c r="M1595" s="6" t="s">
        <v>25</v>
      </c>
      <c r="N1595" s="8" t="s">
        <v>4975</v>
      </c>
      <c r="O1595" s="6">
        <f>HYPERLINK("https://docs.wto.org/imrd/directdoc.asp?DDFDocuments/t/G/SPS/NCHL793.DOCX", "https://docs.wto.org/imrd/directdoc.asp?DDFDocuments/t/G/SPS/NCHL793.DOCX")</f>
      </c>
      <c r="P1595" s="6">
        <f>HYPERLINK("https://docs.wto.org/imrd/directdoc.asp?DDFDocuments/u/G/SPS/NCHL793.DOCX", "https://docs.wto.org/imrd/directdoc.asp?DDFDocuments/u/G/SPS/NCHL793.DOCX")</f>
      </c>
      <c r="Q1595" s="6">
        <f>HYPERLINK("https://docs.wto.org/imrd/directdoc.asp?DDFDocuments/v/G/SPS/NCHL793.DOCX", "https://docs.wto.org/imrd/directdoc.asp?DDFDocuments/v/G/SPS/NCHL793.DOCX")</f>
      </c>
    </row>
    <row r="1596">
      <c r="A1596" s="6" t="s">
        <v>595</v>
      </c>
      <c r="B1596" s="7">
        <v>45469</v>
      </c>
      <c r="C1596" s="6">
        <f>HYPERLINK("https://eping.wto.org/en/Search?viewData= G/TBT/N/SGP/71"," G/TBT/N/SGP/71")</f>
      </c>
      <c r="D1596" s="8" t="s">
        <v>4976</v>
      </c>
      <c r="E1596" s="8" t="s">
        <v>4977</v>
      </c>
      <c r="F1596" s="8" t="s">
        <v>4978</v>
      </c>
      <c r="G1596" s="6" t="s">
        <v>4979</v>
      </c>
      <c r="H1596" s="6" t="s">
        <v>4980</v>
      </c>
      <c r="I1596" s="6" t="s">
        <v>165</v>
      </c>
      <c r="J1596" s="6" t="s">
        <v>178</v>
      </c>
      <c r="K1596" s="6"/>
      <c r="L1596" s="7">
        <v>45529</v>
      </c>
      <c r="M1596" s="6" t="s">
        <v>25</v>
      </c>
      <c r="N1596" s="8" t="s">
        <v>4981</v>
      </c>
      <c r="O1596" s="6">
        <f>HYPERLINK("https://docs.wto.org/imrd/directdoc.asp?DDFDocuments/t/G/TBTN24/SGP71.DOCX", "https://docs.wto.org/imrd/directdoc.asp?DDFDocuments/t/G/TBTN24/SGP71.DOCX")</f>
      </c>
      <c r="P1596" s="6">
        <f>HYPERLINK("https://docs.wto.org/imrd/directdoc.asp?DDFDocuments/u/G/TBTN24/SGP71.DOCX", "https://docs.wto.org/imrd/directdoc.asp?DDFDocuments/u/G/TBTN24/SGP71.DOCX")</f>
      </c>
      <c r="Q1596" s="6">
        <f>HYPERLINK("https://docs.wto.org/imrd/directdoc.asp?DDFDocuments/v/G/TBTN24/SGP71.DOCX", "https://docs.wto.org/imrd/directdoc.asp?DDFDocuments/v/G/TBTN24/SGP71.DOCX")</f>
      </c>
    </row>
    <row r="1597">
      <c r="A1597" s="6" t="s">
        <v>880</v>
      </c>
      <c r="B1597" s="7">
        <v>45469</v>
      </c>
      <c r="C1597" s="6">
        <f>HYPERLINK("https://eping.wto.org/en/Search?viewData= G/SPS/N/BDI/110, G/SPS/N/KEN/288, G/SPS/N/RWA/103, G/SPS/N/TZA/363, G/SPS/N/UGA/337"," G/SPS/N/BDI/110, G/SPS/N/KEN/288, G/SPS/N/RWA/103, G/SPS/N/TZA/363, G/SPS/N/UGA/337")</f>
      </c>
      <c r="D1597" s="8" t="s">
        <v>4930</v>
      </c>
      <c r="E1597" s="8" t="s">
        <v>4931</v>
      </c>
      <c r="F1597" s="8" t="s">
        <v>4932</v>
      </c>
      <c r="G1597" s="6" t="s">
        <v>4871</v>
      </c>
      <c r="H1597" s="6" t="s">
        <v>2022</v>
      </c>
      <c r="I1597" s="6" t="s">
        <v>38</v>
      </c>
      <c r="J1597" s="6" t="s">
        <v>60</v>
      </c>
      <c r="K1597" s="6" t="s">
        <v>40</v>
      </c>
      <c r="L1597" s="7">
        <v>45529</v>
      </c>
      <c r="M1597" s="6" t="s">
        <v>25</v>
      </c>
      <c r="N1597" s="8" t="s">
        <v>4933</v>
      </c>
      <c r="O1597" s="6">
        <f>HYPERLINK("https://docs.wto.org/imrd/directdoc.asp?DDFDocuments/t/G/SPS/NBDI110.DOCX", "https://docs.wto.org/imrd/directdoc.asp?DDFDocuments/t/G/SPS/NBDI110.DOCX")</f>
      </c>
      <c r="P1597" s="6">
        <f>HYPERLINK("https://docs.wto.org/imrd/directdoc.asp?DDFDocuments/u/G/SPS/NBDI110.DOCX", "https://docs.wto.org/imrd/directdoc.asp?DDFDocuments/u/G/SPS/NBDI110.DOCX")</f>
      </c>
      <c r="Q1597" s="6">
        <f>HYPERLINK("https://docs.wto.org/imrd/directdoc.asp?DDFDocuments/v/G/SPS/NBDI110.DOCX", "https://docs.wto.org/imrd/directdoc.asp?DDFDocuments/v/G/SPS/NBDI110.DOCX")</f>
      </c>
    </row>
    <row r="1598">
      <c r="A1598" s="6" t="s">
        <v>307</v>
      </c>
      <c r="B1598" s="7">
        <v>45469</v>
      </c>
      <c r="C1598" s="6">
        <f>HYPERLINK("https://eping.wto.org/en/Search?viewData= G/TBT/N/CAN/726"," G/TBT/N/CAN/726")</f>
      </c>
      <c r="D1598" s="8" t="s">
        <v>4982</v>
      </c>
      <c r="E1598" s="8" t="s">
        <v>4983</v>
      </c>
      <c r="F1598" s="8" t="s">
        <v>4984</v>
      </c>
      <c r="G1598" s="6" t="s">
        <v>4985</v>
      </c>
      <c r="H1598" s="6" t="s">
        <v>1524</v>
      </c>
      <c r="I1598" s="6" t="s">
        <v>142</v>
      </c>
      <c r="J1598" s="6" t="s">
        <v>40</v>
      </c>
      <c r="K1598" s="6"/>
      <c r="L1598" s="7">
        <v>45527</v>
      </c>
      <c r="M1598" s="6" t="s">
        <v>25</v>
      </c>
      <c r="N1598" s="8" t="s">
        <v>4986</v>
      </c>
      <c r="O1598" s="6">
        <f>HYPERLINK("https://docs.wto.org/imrd/directdoc.asp?DDFDocuments/t/G/TBTN24/CAN726.DOCX", "https://docs.wto.org/imrd/directdoc.asp?DDFDocuments/t/G/TBTN24/CAN726.DOCX")</f>
      </c>
      <c r="P1598" s="6">
        <f>HYPERLINK("https://docs.wto.org/imrd/directdoc.asp?DDFDocuments/u/G/TBTN24/CAN726.DOCX", "https://docs.wto.org/imrd/directdoc.asp?DDFDocuments/u/G/TBTN24/CAN726.DOCX")</f>
      </c>
      <c r="Q1598" s="6">
        <f>HYPERLINK("https://docs.wto.org/imrd/directdoc.asp?DDFDocuments/v/G/TBTN24/CAN726.DOCX", "https://docs.wto.org/imrd/directdoc.asp?DDFDocuments/v/G/TBTN24/CAN726.DOCX")</f>
      </c>
    </row>
    <row r="1599">
      <c r="A1599" s="6" t="s">
        <v>17</v>
      </c>
      <c r="B1599" s="7">
        <v>45469</v>
      </c>
      <c r="C1599" s="6">
        <f>HYPERLINK("https://eping.wto.org/en/Search?viewData= G/SPS/N/BDI/108, G/SPS/N/KEN/286, G/SPS/N/RWA/101, G/SPS/N/TZA/361, G/SPS/N/UGA/335"," G/SPS/N/BDI/108, G/SPS/N/KEN/286, G/SPS/N/RWA/101, G/SPS/N/TZA/361, G/SPS/N/UGA/335")</f>
      </c>
      <c r="D1599" s="8" t="s">
        <v>4926</v>
      </c>
      <c r="E1599" s="8" t="s">
        <v>4927</v>
      </c>
      <c r="F1599" s="8" t="s">
        <v>4928</v>
      </c>
      <c r="G1599" s="6" t="s">
        <v>4832</v>
      </c>
      <c r="H1599" s="6" t="s">
        <v>2022</v>
      </c>
      <c r="I1599" s="6" t="s">
        <v>38</v>
      </c>
      <c r="J1599" s="6" t="s">
        <v>39</v>
      </c>
      <c r="K1599" s="6" t="s">
        <v>40</v>
      </c>
      <c r="L1599" s="7">
        <v>45529</v>
      </c>
      <c r="M1599" s="6" t="s">
        <v>25</v>
      </c>
      <c r="N1599" s="8" t="s">
        <v>4929</v>
      </c>
      <c r="O1599" s="6">
        <f>HYPERLINK("https://docs.wto.org/imrd/directdoc.asp?DDFDocuments/t/G/SPS/NBDI108.DOCX", "https://docs.wto.org/imrd/directdoc.asp?DDFDocuments/t/G/SPS/NBDI108.DOCX")</f>
      </c>
      <c r="P1599" s="6">
        <f>HYPERLINK("https://docs.wto.org/imrd/directdoc.asp?DDFDocuments/u/G/SPS/NBDI108.DOCX", "https://docs.wto.org/imrd/directdoc.asp?DDFDocuments/u/G/SPS/NBDI108.DOCX")</f>
      </c>
      <c r="Q1599" s="6">
        <f>HYPERLINK("https://docs.wto.org/imrd/directdoc.asp?DDFDocuments/v/G/SPS/NBDI108.DOCX", "https://docs.wto.org/imrd/directdoc.asp?DDFDocuments/v/G/SPS/NBDI108.DOCX")</f>
      </c>
    </row>
    <row r="1600">
      <c r="A1600" s="6" t="s">
        <v>2030</v>
      </c>
      <c r="B1600" s="7">
        <v>45469</v>
      </c>
      <c r="C1600" s="6">
        <f>HYPERLINK("https://eping.wto.org/en/Search?viewData= G/SPS/N/BDI/109, G/SPS/N/KEN/287, G/SPS/N/RWA/102, G/SPS/N/TZA/362, G/SPS/N/UGA/336"," G/SPS/N/BDI/109, G/SPS/N/KEN/287, G/SPS/N/RWA/102, G/SPS/N/TZA/362, G/SPS/N/UGA/336")</f>
      </c>
      <c r="D1600" s="8" t="s">
        <v>4987</v>
      </c>
      <c r="E1600" s="8" t="s">
        <v>4988</v>
      </c>
      <c r="F1600" s="8" t="s">
        <v>4989</v>
      </c>
      <c r="G1600" s="6" t="s">
        <v>4837</v>
      </c>
      <c r="H1600" s="6" t="s">
        <v>2022</v>
      </c>
      <c r="I1600" s="6" t="s">
        <v>38</v>
      </c>
      <c r="J1600" s="6" t="s">
        <v>39</v>
      </c>
      <c r="K1600" s="6" t="s">
        <v>40</v>
      </c>
      <c r="L1600" s="7">
        <v>45529</v>
      </c>
      <c r="M1600" s="6" t="s">
        <v>25</v>
      </c>
      <c r="N1600" s="8" t="s">
        <v>4990</v>
      </c>
      <c r="O1600" s="6">
        <f>HYPERLINK("https://docs.wto.org/imrd/directdoc.asp?DDFDocuments/t/G/SPS/NBDI109.DOCX", "https://docs.wto.org/imrd/directdoc.asp?DDFDocuments/t/G/SPS/NBDI109.DOCX")</f>
      </c>
      <c r="P1600" s="6">
        <f>HYPERLINK("https://docs.wto.org/imrd/directdoc.asp?DDFDocuments/u/G/SPS/NBDI109.DOCX", "https://docs.wto.org/imrd/directdoc.asp?DDFDocuments/u/G/SPS/NBDI109.DOCX")</f>
      </c>
      <c r="Q1600" s="6">
        <f>HYPERLINK("https://docs.wto.org/imrd/directdoc.asp?DDFDocuments/v/G/SPS/NBDI109.DOCX", "https://docs.wto.org/imrd/directdoc.asp?DDFDocuments/v/G/SPS/NBDI109.DOCX")</f>
      </c>
    </row>
    <row r="1601">
      <c r="A1601" s="6" t="s">
        <v>17</v>
      </c>
      <c r="B1601" s="7">
        <v>45469</v>
      </c>
      <c r="C1601" s="6">
        <f>HYPERLINK("https://eping.wto.org/en/Search?viewData= G/SPS/N/BDI/111, G/SPS/N/KEN/289, G/SPS/N/RWA/104, G/SPS/N/TZA/364, G/SPS/N/UGA/338"," G/SPS/N/BDI/111, G/SPS/N/KEN/289, G/SPS/N/RWA/104, G/SPS/N/TZA/364, G/SPS/N/UGA/338")</f>
      </c>
      <c r="D1601" s="8" t="s">
        <v>4922</v>
      </c>
      <c r="E1601" s="8" t="s">
        <v>4923</v>
      </c>
      <c r="F1601" s="8" t="s">
        <v>4924</v>
      </c>
      <c r="G1601" s="6" t="s">
        <v>4876</v>
      </c>
      <c r="H1601" s="6" t="s">
        <v>2022</v>
      </c>
      <c r="I1601" s="6" t="s">
        <v>38</v>
      </c>
      <c r="J1601" s="6" t="s">
        <v>39</v>
      </c>
      <c r="K1601" s="6" t="s">
        <v>40</v>
      </c>
      <c r="L1601" s="7">
        <v>45529</v>
      </c>
      <c r="M1601" s="6" t="s">
        <v>25</v>
      </c>
      <c r="N1601" s="8" t="s">
        <v>4925</v>
      </c>
      <c r="O1601" s="6">
        <f>HYPERLINK("https://docs.wto.org/imrd/directdoc.asp?DDFDocuments/t/G/SPS/NBDI111.DOCX", "https://docs.wto.org/imrd/directdoc.asp?DDFDocuments/t/G/SPS/NBDI111.DOCX")</f>
      </c>
      <c r="P1601" s="6">
        <f>HYPERLINK("https://docs.wto.org/imrd/directdoc.asp?DDFDocuments/u/G/SPS/NBDI111.DOCX", "https://docs.wto.org/imrd/directdoc.asp?DDFDocuments/u/G/SPS/NBDI111.DOCX")</f>
      </c>
      <c r="Q1601" s="6">
        <f>HYPERLINK("https://docs.wto.org/imrd/directdoc.asp?DDFDocuments/v/G/SPS/NBDI111.DOCX", "https://docs.wto.org/imrd/directdoc.asp?DDFDocuments/v/G/SPS/NBDI111.DOCX")</f>
      </c>
    </row>
    <row r="1602">
      <c r="A1602" s="6" t="s">
        <v>17</v>
      </c>
      <c r="B1602" s="7">
        <v>45469</v>
      </c>
      <c r="C1602" s="6">
        <f>HYPERLINK("https://eping.wto.org/en/Search?viewData= G/SPS/N/BDI/112, G/SPS/N/KEN/290, G/SPS/N/RWA/105, G/SPS/N/TZA/365, G/SPS/N/UGA/339"," G/SPS/N/BDI/112, G/SPS/N/KEN/290, G/SPS/N/RWA/105, G/SPS/N/TZA/365, G/SPS/N/UGA/339")</f>
      </c>
      <c r="D1602" s="8" t="s">
        <v>4934</v>
      </c>
      <c r="E1602" s="8" t="s">
        <v>4935</v>
      </c>
      <c r="F1602" s="8" t="s">
        <v>4936</v>
      </c>
      <c r="G1602" s="6" t="s">
        <v>4881</v>
      </c>
      <c r="H1602" s="6" t="s">
        <v>2022</v>
      </c>
      <c r="I1602" s="6" t="s">
        <v>38</v>
      </c>
      <c r="J1602" s="6" t="s">
        <v>39</v>
      </c>
      <c r="K1602" s="6" t="s">
        <v>40</v>
      </c>
      <c r="L1602" s="7">
        <v>45529</v>
      </c>
      <c r="M1602" s="6" t="s">
        <v>25</v>
      </c>
      <c r="N1602" s="8" t="s">
        <v>4937</v>
      </c>
      <c r="O1602" s="6">
        <f>HYPERLINK("https://docs.wto.org/imrd/directdoc.asp?DDFDocuments/t/G/SPS/NBDI112.DOCX", "https://docs.wto.org/imrd/directdoc.asp?DDFDocuments/t/G/SPS/NBDI112.DOCX")</f>
      </c>
      <c r="P1602" s="6">
        <f>HYPERLINK("https://docs.wto.org/imrd/directdoc.asp?DDFDocuments/u/G/SPS/NBDI112.DOCX", "https://docs.wto.org/imrd/directdoc.asp?DDFDocuments/u/G/SPS/NBDI112.DOCX")</f>
      </c>
      <c r="Q1602" s="6">
        <f>HYPERLINK("https://docs.wto.org/imrd/directdoc.asp?DDFDocuments/v/G/SPS/NBDI112.DOCX", "https://docs.wto.org/imrd/directdoc.asp?DDFDocuments/v/G/SPS/NBDI112.DOCX")</f>
      </c>
    </row>
    <row r="1603">
      <c r="A1603" s="6" t="s">
        <v>198</v>
      </c>
      <c r="B1603" s="7">
        <v>45469</v>
      </c>
      <c r="C1603" s="6">
        <f>HYPERLINK("https://eping.wto.org/en/Search?viewData= G/TBT/N/CHL/688"," G/TBT/N/CHL/688")</f>
      </c>
      <c r="D1603" s="8" t="s">
        <v>4991</v>
      </c>
      <c r="E1603" s="8" t="s">
        <v>4992</v>
      </c>
      <c r="F1603" s="8" t="s">
        <v>4993</v>
      </c>
      <c r="G1603" s="6" t="s">
        <v>4994</v>
      </c>
      <c r="H1603" s="6" t="s">
        <v>4995</v>
      </c>
      <c r="I1603" s="6" t="s">
        <v>147</v>
      </c>
      <c r="J1603" s="6" t="s">
        <v>40</v>
      </c>
      <c r="K1603" s="6"/>
      <c r="L1603" s="7">
        <v>45529</v>
      </c>
      <c r="M1603" s="6" t="s">
        <v>25</v>
      </c>
      <c r="N1603" s="8" t="s">
        <v>4996</v>
      </c>
      <c r="O1603" s="6">
        <f>HYPERLINK("https://docs.wto.org/imrd/directdoc.asp?DDFDocuments/t/G/TBTN24/CHL688.DOCX", "https://docs.wto.org/imrd/directdoc.asp?DDFDocuments/t/G/TBTN24/CHL688.DOCX")</f>
      </c>
      <c r="P1603" s="6">
        <f>HYPERLINK("https://docs.wto.org/imrd/directdoc.asp?DDFDocuments/u/G/TBTN24/CHL688.DOCX", "https://docs.wto.org/imrd/directdoc.asp?DDFDocuments/u/G/TBTN24/CHL688.DOCX")</f>
      </c>
      <c r="Q1603" s="6">
        <f>HYPERLINK("https://docs.wto.org/imrd/directdoc.asp?DDFDocuments/v/G/TBTN24/CHL688.DOCX", "https://docs.wto.org/imrd/directdoc.asp?DDFDocuments/v/G/TBTN24/CHL688.DOCX")</f>
      </c>
    </row>
    <row r="1604">
      <c r="A1604" s="6" t="s">
        <v>880</v>
      </c>
      <c r="B1604" s="7">
        <v>45469</v>
      </c>
      <c r="C1604" s="6">
        <f>HYPERLINK("https://eping.wto.org/en/Search?viewData= G/SPS/N/BDI/109, G/SPS/N/KEN/287, G/SPS/N/RWA/102, G/SPS/N/TZA/362, G/SPS/N/UGA/336"," G/SPS/N/BDI/109, G/SPS/N/KEN/287, G/SPS/N/RWA/102, G/SPS/N/TZA/362, G/SPS/N/UGA/336")</f>
      </c>
      <c r="D1604" s="8" t="s">
        <v>4987</v>
      </c>
      <c r="E1604" s="8" t="s">
        <v>4988</v>
      </c>
      <c r="F1604" s="8" t="s">
        <v>4989</v>
      </c>
      <c r="G1604" s="6" t="s">
        <v>4837</v>
      </c>
      <c r="H1604" s="6" t="s">
        <v>2022</v>
      </c>
      <c r="I1604" s="6" t="s">
        <v>38</v>
      </c>
      <c r="J1604" s="6" t="s">
        <v>60</v>
      </c>
      <c r="K1604" s="6" t="s">
        <v>40</v>
      </c>
      <c r="L1604" s="7">
        <v>45529</v>
      </c>
      <c r="M1604" s="6" t="s">
        <v>25</v>
      </c>
      <c r="N1604" s="8" t="s">
        <v>4990</v>
      </c>
      <c r="O1604" s="6">
        <f>HYPERLINK("https://docs.wto.org/imrd/directdoc.asp?DDFDocuments/t/G/SPS/NBDI109.DOCX", "https://docs.wto.org/imrd/directdoc.asp?DDFDocuments/t/G/SPS/NBDI109.DOCX")</f>
      </c>
      <c r="P1604" s="6">
        <f>HYPERLINK("https://docs.wto.org/imrd/directdoc.asp?DDFDocuments/u/G/SPS/NBDI109.DOCX", "https://docs.wto.org/imrd/directdoc.asp?DDFDocuments/u/G/SPS/NBDI109.DOCX")</f>
      </c>
      <c r="Q1604" s="6">
        <f>HYPERLINK("https://docs.wto.org/imrd/directdoc.asp?DDFDocuments/v/G/SPS/NBDI109.DOCX", "https://docs.wto.org/imrd/directdoc.asp?DDFDocuments/v/G/SPS/NBDI109.DOCX")</f>
      </c>
    </row>
    <row r="1605">
      <c r="A1605" s="6" t="s">
        <v>2041</v>
      </c>
      <c r="B1605" s="7">
        <v>45469</v>
      </c>
      <c r="C1605" s="6">
        <f>HYPERLINK("https://eping.wto.org/en/Search?viewData= G/SPS/N/BDI/109, G/SPS/N/KEN/287, G/SPS/N/RWA/102, G/SPS/N/TZA/362, G/SPS/N/UGA/336"," G/SPS/N/BDI/109, G/SPS/N/KEN/287, G/SPS/N/RWA/102, G/SPS/N/TZA/362, G/SPS/N/UGA/336")</f>
      </c>
      <c r="D1605" s="8" t="s">
        <v>4987</v>
      </c>
      <c r="E1605" s="8" t="s">
        <v>4988</v>
      </c>
      <c r="F1605" s="8" t="s">
        <v>4989</v>
      </c>
      <c r="G1605" s="6" t="s">
        <v>4837</v>
      </c>
      <c r="H1605" s="6" t="s">
        <v>2022</v>
      </c>
      <c r="I1605" s="6" t="s">
        <v>38</v>
      </c>
      <c r="J1605" s="6" t="s">
        <v>39</v>
      </c>
      <c r="K1605" s="6" t="s">
        <v>40</v>
      </c>
      <c r="L1605" s="7">
        <v>45529</v>
      </c>
      <c r="M1605" s="6" t="s">
        <v>25</v>
      </c>
      <c r="N1605" s="8" t="s">
        <v>4990</v>
      </c>
      <c r="O1605" s="6">
        <f>HYPERLINK("https://docs.wto.org/imrd/directdoc.asp?DDFDocuments/t/G/SPS/NBDI109.DOCX", "https://docs.wto.org/imrd/directdoc.asp?DDFDocuments/t/G/SPS/NBDI109.DOCX")</f>
      </c>
      <c r="P1605" s="6">
        <f>HYPERLINK("https://docs.wto.org/imrd/directdoc.asp?DDFDocuments/u/G/SPS/NBDI109.DOCX", "https://docs.wto.org/imrd/directdoc.asp?DDFDocuments/u/G/SPS/NBDI109.DOCX")</f>
      </c>
      <c r="Q1605" s="6">
        <f>HYPERLINK("https://docs.wto.org/imrd/directdoc.asp?DDFDocuments/v/G/SPS/NBDI109.DOCX", "https://docs.wto.org/imrd/directdoc.asp?DDFDocuments/v/G/SPS/NBDI109.DOCX")</f>
      </c>
    </row>
    <row r="1606">
      <c r="A1606" s="6" t="s">
        <v>2030</v>
      </c>
      <c r="B1606" s="7">
        <v>45469</v>
      </c>
      <c r="C1606" s="6">
        <f>HYPERLINK("https://eping.wto.org/en/Search?viewData= G/SPS/N/BDI/112, G/SPS/N/KEN/290, G/SPS/N/RWA/105, G/SPS/N/TZA/365, G/SPS/N/UGA/339"," G/SPS/N/BDI/112, G/SPS/N/KEN/290, G/SPS/N/RWA/105, G/SPS/N/TZA/365, G/SPS/N/UGA/339")</f>
      </c>
      <c r="D1606" s="8" t="s">
        <v>4934</v>
      </c>
      <c r="E1606" s="8" t="s">
        <v>4935</v>
      </c>
      <c r="F1606" s="8" t="s">
        <v>4936</v>
      </c>
      <c r="G1606" s="6" t="s">
        <v>4881</v>
      </c>
      <c r="H1606" s="6" t="s">
        <v>2022</v>
      </c>
      <c r="I1606" s="6" t="s">
        <v>38</v>
      </c>
      <c r="J1606" s="6" t="s">
        <v>39</v>
      </c>
      <c r="K1606" s="6" t="s">
        <v>40</v>
      </c>
      <c r="L1606" s="7">
        <v>45529</v>
      </c>
      <c r="M1606" s="6" t="s">
        <v>25</v>
      </c>
      <c r="N1606" s="8" t="s">
        <v>4937</v>
      </c>
      <c r="O1606" s="6">
        <f>HYPERLINK("https://docs.wto.org/imrd/directdoc.asp?DDFDocuments/t/G/SPS/NBDI112.DOCX", "https://docs.wto.org/imrd/directdoc.asp?DDFDocuments/t/G/SPS/NBDI112.DOCX")</f>
      </c>
      <c r="P1606" s="6">
        <f>HYPERLINK("https://docs.wto.org/imrd/directdoc.asp?DDFDocuments/u/G/SPS/NBDI112.DOCX", "https://docs.wto.org/imrd/directdoc.asp?DDFDocuments/u/G/SPS/NBDI112.DOCX")</f>
      </c>
      <c r="Q1606" s="6">
        <f>HYPERLINK("https://docs.wto.org/imrd/directdoc.asp?DDFDocuments/v/G/SPS/NBDI112.DOCX", "https://docs.wto.org/imrd/directdoc.asp?DDFDocuments/v/G/SPS/NBDI112.DOCX")</f>
      </c>
    </row>
    <row r="1607">
      <c r="A1607" s="6" t="s">
        <v>17</v>
      </c>
      <c r="B1607" s="7">
        <v>45469</v>
      </c>
      <c r="C1607" s="6">
        <f>HYPERLINK("https://eping.wto.org/en/Search?viewData= G/SPS/N/BDI/113, G/SPS/N/KEN/291, G/SPS/N/RWA/106, G/SPS/N/TZA/366, G/SPS/N/UGA/340"," G/SPS/N/BDI/113, G/SPS/N/KEN/291, G/SPS/N/RWA/106, G/SPS/N/TZA/366, G/SPS/N/UGA/340")</f>
      </c>
      <c r="D1607" s="8" t="s">
        <v>4944</v>
      </c>
      <c r="E1607" s="8" t="s">
        <v>4945</v>
      </c>
      <c r="F1607" s="8" t="s">
        <v>4946</v>
      </c>
      <c r="G1607" s="6" t="s">
        <v>4846</v>
      </c>
      <c r="H1607" s="6" t="s">
        <v>2022</v>
      </c>
      <c r="I1607" s="6" t="s">
        <v>38</v>
      </c>
      <c r="J1607" s="6" t="s">
        <v>39</v>
      </c>
      <c r="K1607" s="6" t="s">
        <v>40</v>
      </c>
      <c r="L1607" s="7">
        <v>45529</v>
      </c>
      <c r="M1607" s="6" t="s">
        <v>25</v>
      </c>
      <c r="N1607" s="8" t="s">
        <v>4947</v>
      </c>
      <c r="O1607" s="6">
        <f>HYPERLINK("https://docs.wto.org/imrd/directdoc.asp?DDFDocuments/t/G/SPS/NBDI113.DOCX", "https://docs.wto.org/imrd/directdoc.asp?DDFDocuments/t/G/SPS/NBDI113.DOCX")</f>
      </c>
      <c r="P1607" s="6">
        <f>HYPERLINK("https://docs.wto.org/imrd/directdoc.asp?DDFDocuments/u/G/SPS/NBDI113.DOCX", "https://docs.wto.org/imrd/directdoc.asp?DDFDocuments/u/G/SPS/NBDI113.DOCX")</f>
      </c>
      <c r="Q1607" s="6">
        <f>HYPERLINK("https://docs.wto.org/imrd/directdoc.asp?DDFDocuments/v/G/SPS/NBDI113.DOCX", "https://docs.wto.org/imrd/directdoc.asp?DDFDocuments/v/G/SPS/NBDI113.DOCX")</f>
      </c>
    </row>
    <row r="1608">
      <c r="A1608" s="6" t="s">
        <v>880</v>
      </c>
      <c r="B1608" s="7">
        <v>45469</v>
      </c>
      <c r="C1608" s="6">
        <f>HYPERLINK("https://eping.wto.org/en/Search?viewData= G/SPS/N/BDI/113, G/SPS/N/KEN/291, G/SPS/N/RWA/106, G/SPS/N/TZA/366, G/SPS/N/UGA/340"," G/SPS/N/BDI/113, G/SPS/N/KEN/291, G/SPS/N/RWA/106, G/SPS/N/TZA/366, G/SPS/N/UGA/340")</f>
      </c>
      <c r="D1608" s="8" t="s">
        <v>4944</v>
      </c>
      <c r="E1608" s="8" t="s">
        <v>4945</v>
      </c>
      <c r="F1608" s="8" t="s">
        <v>4946</v>
      </c>
      <c r="G1608" s="6" t="s">
        <v>4846</v>
      </c>
      <c r="H1608" s="6" t="s">
        <v>2022</v>
      </c>
      <c r="I1608" s="6" t="s">
        <v>38</v>
      </c>
      <c r="J1608" s="6" t="s">
        <v>60</v>
      </c>
      <c r="K1608" s="6" t="s">
        <v>40</v>
      </c>
      <c r="L1608" s="7">
        <v>45529</v>
      </c>
      <c r="M1608" s="6" t="s">
        <v>25</v>
      </c>
      <c r="N1608" s="8" t="s">
        <v>4947</v>
      </c>
      <c r="O1608" s="6">
        <f>HYPERLINK("https://docs.wto.org/imrd/directdoc.asp?DDFDocuments/t/G/SPS/NBDI113.DOCX", "https://docs.wto.org/imrd/directdoc.asp?DDFDocuments/t/G/SPS/NBDI113.DOCX")</f>
      </c>
      <c r="P1608" s="6">
        <f>HYPERLINK("https://docs.wto.org/imrd/directdoc.asp?DDFDocuments/u/G/SPS/NBDI113.DOCX", "https://docs.wto.org/imrd/directdoc.asp?DDFDocuments/u/G/SPS/NBDI113.DOCX")</f>
      </c>
      <c r="Q1608" s="6">
        <f>HYPERLINK("https://docs.wto.org/imrd/directdoc.asp?DDFDocuments/v/G/SPS/NBDI113.DOCX", "https://docs.wto.org/imrd/directdoc.asp?DDFDocuments/v/G/SPS/NBDI113.DOCX")</f>
      </c>
    </row>
    <row r="1609">
      <c r="A1609" s="6" t="s">
        <v>2030</v>
      </c>
      <c r="B1609" s="7">
        <v>45469</v>
      </c>
      <c r="C1609" s="6">
        <f>HYPERLINK("https://eping.wto.org/en/Search?viewData= G/SPS/N/BDI/108, G/SPS/N/KEN/286, G/SPS/N/RWA/101, G/SPS/N/TZA/361, G/SPS/N/UGA/335"," G/SPS/N/BDI/108, G/SPS/N/KEN/286, G/SPS/N/RWA/101, G/SPS/N/TZA/361, G/SPS/N/UGA/335")</f>
      </c>
      <c r="D1609" s="8" t="s">
        <v>4926</v>
      </c>
      <c r="E1609" s="8" t="s">
        <v>4927</v>
      </c>
      <c r="F1609" s="8" t="s">
        <v>4928</v>
      </c>
      <c r="G1609" s="6" t="s">
        <v>4832</v>
      </c>
      <c r="H1609" s="6" t="s">
        <v>2022</v>
      </c>
      <c r="I1609" s="6" t="s">
        <v>38</v>
      </c>
      <c r="J1609" s="6" t="s">
        <v>39</v>
      </c>
      <c r="K1609" s="6" t="s">
        <v>40</v>
      </c>
      <c r="L1609" s="7">
        <v>45529</v>
      </c>
      <c r="M1609" s="6" t="s">
        <v>25</v>
      </c>
      <c r="N1609" s="8" t="s">
        <v>4929</v>
      </c>
      <c r="O1609" s="6">
        <f>HYPERLINK("https://docs.wto.org/imrd/directdoc.asp?DDFDocuments/t/G/SPS/NBDI108.DOCX", "https://docs.wto.org/imrd/directdoc.asp?DDFDocuments/t/G/SPS/NBDI108.DOCX")</f>
      </c>
      <c r="P1609" s="6">
        <f>HYPERLINK("https://docs.wto.org/imrd/directdoc.asp?DDFDocuments/u/G/SPS/NBDI108.DOCX", "https://docs.wto.org/imrd/directdoc.asp?DDFDocuments/u/G/SPS/NBDI108.DOCX")</f>
      </c>
      <c r="Q1609" s="6">
        <f>HYPERLINK("https://docs.wto.org/imrd/directdoc.asp?DDFDocuments/v/G/SPS/NBDI108.DOCX", "https://docs.wto.org/imrd/directdoc.asp?DDFDocuments/v/G/SPS/NBDI108.DOCX")</f>
      </c>
    </row>
    <row r="1610">
      <c r="A1610" s="6" t="s">
        <v>2041</v>
      </c>
      <c r="B1610" s="7">
        <v>45469</v>
      </c>
      <c r="C1610" s="6">
        <f>HYPERLINK("https://eping.wto.org/en/Search?viewData= G/SPS/N/BDI/113, G/SPS/N/KEN/291, G/SPS/N/RWA/106, G/SPS/N/TZA/366, G/SPS/N/UGA/340"," G/SPS/N/BDI/113, G/SPS/N/KEN/291, G/SPS/N/RWA/106, G/SPS/N/TZA/366, G/SPS/N/UGA/340")</f>
      </c>
      <c r="D1610" s="8" t="s">
        <v>4944</v>
      </c>
      <c r="E1610" s="8" t="s">
        <v>4945</v>
      </c>
      <c r="F1610" s="8" t="s">
        <v>4946</v>
      </c>
      <c r="G1610" s="6" t="s">
        <v>4846</v>
      </c>
      <c r="H1610" s="6" t="s">
        <v>2022</v>
      </c>
      <c r="I1610" s="6" t="s">
        <v>38</v>
      </c>
      <c r="J1610" s="6" t="s">
        <v>39</v>
      </c>
      <c r="K1610" s="6" t="s">
        <v>40</v>
      </c>
      <c r="L1610" s="7">
        <v>45529</v>
      </c>
      <c r="M1610" s="6" t="s">
        <v>25</v>
      </c>
      <c r="N1610" s="8" t="s">
        <v>4947</v>
      </c>
      <c r="O1610" s="6">
        <f>HYPERLINK("https://docs.wto.org/imrd/directdoc.asp?DDFDocuments/t/G/SPS/NBDI113.DOCX", "https://docs.wto.org/imrd/directdoc.asp?DDFDocuments/t/G/SPS/NBDI113.DOCX")</f>
      </c>
      <c r="P1610" s="6">
        <f>HYPERLINK("https://docs.wto.org/imrd/directdoc.asp?DDFDocuments/u/G/SPS/NBDI113.DOCX", "https://docs.wto.org/imrd/directdoc.asp?DDFDocuments/u/G/SPS/NBDI113.DOCX")</f>
      </c>
      <c r="Q1610" s="6">
        <f>HYPERLINK("https://docs.wto.org/imrd/directdoc.asp?DDFDocuments/v/G/SPS/NBDI113.DOCX", "https://docs.wto.org/imrd/directdoc.asp?DDFDocuments/v/G/SPS/NBDI113.DOCX")</f>
      </c>
    </row>
    <row r="1611">
      <c r="A1611" s="6" t="s">
        <v>2030</v>
      </c>
      <c r="B1611" s="7">
        <v>45469</v>
      </c>
      <c r="C1611" s="6">
        <f>HYPERLINK("https://eping.wto.org/en/Search?viewData= G/SPS/N/BDI/113, G/SPS/N/KEN/291, G/SPS/N/RWA/106, G/SPS/N/TZA/366, G/SPS/N/UGA/340"," G/SPS/N/BDI/113, G/SPS/N/KEN/291, G/SPS/N/RWA/106, G/SPS/N/TZA/366, G/SPS/N/UGA/340")</f>
      </c>
      <c r="D1611" s="8" t="s">
        <v>4944</v>
      </c>
      <c r="E1611" s="8" t="s">
        <v>4945</v>
      </c>
      <c r="F1611" s="8" t="s">
        <v>4946</v>
      </c>
      <c r="G1611" s="6" t="s">
        <v>4846</v>
      </c>
      <c r="H1611" s="6" t="s">
        <v>2022</v>
      </c>
      <c r="I1611" s="6" t="s">
        <v>38</v>
      </c>
      <c r="J1611" s="6" t="s">
        <v>39</v>
      </c>
      <c r="K1611" s="6" t="s">
        <v>40</v>
      </c>
      <c r="L1611" s="7">
        <v>45529</v>
      </c>
      <c r="M1611" s="6" t="s">
        <v>25</v>
      </c>
      <c r="N1611" s="8" t="s">
        <v>4947</v>
      </c>
      <c r="O1611" s="6">
        <f>HYPERLINK("https://docs.wto.org/imrd/directdoc.asp?DDFDocuments/t/G/SPS/NBDI113.DOCX", "https://docs.wto.org/imrd/directdoc.asp?DDFDocuments/t/G/SPS/NBDI113.DOCX")</f>
      </c>
      <c r="P1611" s="6">
        <f>HYPERLINK("https://docs.wto.org/imrd/directdoc.asp?DDFDocuments/u/G/SPS/NBDI113.DOCX", "https://docs.wto.org/imrd/directdoc.asp?DDFDocuments/u/G/SPS/NBDI113.DOCX")</f>
      </c>
      <c r="Q1611" s="6">
        <f>HYPERLINK("https://docs.wto.org/imrd/directdoc.asp?DDFDocuments/v/G/SPS/NBDI113.DOCX", "https://docs.wto.org/imrd/directdoc.asp?DDFDocuments/v/G/SPS/NBDI113.DOCX")</f>
      </c>
    </row>
    <row r="1612">
      <c r="A1612" s="6" t="s">
        <v>880</v>
      </c>
      <c r="B1612" s="7">
        <v>45469</v>
      </c>
      <c r="C1612" s="6">
        <f>HYPERLINK("https://eping.wto.org/en/Search?viewData= G/SPS/N/BDI/112, G/SPS/N/KEN/290, G/SPS/N/RWA/105, G/SPS/N/TZA/365, G/SPS/N/UGA/339"," G/SPS/N/BDI/112, G/SPS/N/KEN/290, G/SPS/N/RWA/105, G/SPS/N/TZA/365, G/SPS/N/UGA/339")</f>
      </c>
      <c r="D1612" s="8" t="s">
        <v>4934</v>
      </c>
      <c r="E1612" s="8" t="s">
        <v>4935</v>
      </c>
      <c r="F1612" s="8" t="s">
        <v>4936</v>
      </c>
      <c r="G1612" s="6" t="s">
        <v>4881</v>
      </c>
      <c r="H1612" s="6" t="s">
        <v>2022</v>
      </c>
      <c r="I1612" s="6" t="s">
        <v>38</v>
      </c>
      <c r="J1612" s="6" t="s">
        <v>60</v>
      </c>
      <c r="K1612" s="6" t="s">
        <v>40</v>
      </c>
      <c r="L1612" s="7">
        <v>45529</v>
      </c>
      <c r="M1612" s="6" t="s">
        <v>25</v>
      </c>
      <c r="N1612" s="8" t="s">
        <v>4937</v>
      </c>
      <c r="O1612" s="6">
        <f>HYPERLINK("https://docs.wto.org/imrd/directdoc.asp?DDFDocuments/t/G/SPS/NBDI112.DOCX", "https://docs.wto.org/imrd/directdoc.asp?DDFDocuments/t/G/SPS/NBDI112.DOCX")</f>
      </c>
      <c r="P1612" s="6">
        <f>HYPERLINK("https://docs.wto.org/imrd/directdoc.asp?DDFDocuments/u/G/SPS/NBDI112.DOCX", "https://docs.wto.org/imrd/directdoc.asp?DDFDocuments/u/G/SPS/NBDI112.DOCX")</f>
      </c>
      <c r="Q1612" s="6">
        <f>HYPERLINK("https://docs.wto.org/imrd/directdoc.asp?DDFDocuments/v/G/SPS/NBDI112.DOCX", "https://docs.wto.org/imrd/directdoc.asp?DDFDocuments/v/G/SPS/NBDI112.DOCX")</f>
      </c>
    </row>
    <row r="1613">
      <c r="A1613" s="6" t="s">
        <v>2024</v>
      </c>
      <c r="B1613" s="7">
        <v>45469</v>
      </c>
      <c r="C1613" s="6">
        <f>HYPERLINK("https://eping.wto.org/en/Search?viewData= G/SPS/N/BDI/109, G/SPS/N/KEN/287, G/SPS/N/RWA/102, G/SPS/N/TZA/362, G/SPS/N/UGA/336"," G/SPS/N/BDI/109, G/SPS/N/KEN/287, G/SPS/N/RWA/102, G/SPS/N/TZA/362, G/SPS/N/UGA/336")</f>
      </c>
      <c r="D1613" s="8" t="s">
        <v>4987</v>
      </c>
      <c r="E1613" s="8" t="s">
        <v>4988</v>
      </c>
      <c r="F1613" s="8" t="s">
        <v>4989</v>
      </c>
      <c r="G1613" s="6" t="s">
        <v>4837</v>
      </c>
      <c r="H1613" s="6" t="s">
        <v>2022</v>
      </c>
      <c r="I1613" s="6" t="s">
        <v>38</v>
      </c>
      <c r="J1613" s="6" t="s">
        <v>39</v>
      </c>
      <c r="K1613" s="6" t="s">
        <v>40</v>
      </c>
      <c r="L1613" s="7">
        <v>45529</v>
      </c>
      <c r="M1613" s="6" t="s">
        <v>25</v>
      </c>
      <c r="N1613" s="8" t="s">
        <v>4990</v>
      </c>
      <c r="O1613" s="6">
        <f>HYPERLINK("https://docs.wto.org/imrd/directdoc.asp?DDFDocuments/t/G/SPS/NBDI109.DOCX", "https://docs.wto.org/imrd/directdoc.asp?DDFDocuments/t/G/SPS/NBDI109.DOCX")</f>
      </c>
      <c r="P1613" s="6">
        <f>HYPERLINK("https://docs.wto.org/imrd/directdoc.asp?DDFDocuments/u/G/SPS/NBDI109.DOCX", "https://docs.wto.org/imrd/directdoc.asp?DDFDocuments/u/G/SPS/NBDI109.DOCX")</f>
      </c>
      <c r="Q1613" s="6">
        <f>HYPERLINK("https://docs.wto.org/imrd/directdoc.asp?DDFDocuments/v/G/SPS/NBDI109.DOCX", "https://docs.wto.org/imrd/directdoc.asp?DDFDocuments/v/G/SPS/NBDI109.DOCX")</f>
      </c>
    </row>
    <row r="1614">
      <c r="A1614" s="6" t="s">
        <v>17</v>
      </c>
      <c r="B1614" s="7">
        <v>45469</v>
      </c>
      <c r="C1614" s="6">
        <f>HYPERLINK("https://eping.wto.org/en/Search?viewData= G/SPS/N/BDI/109, G/SPS/N/KEN/287, G/SPS/N/RWA/102, G/SPS/N/TZA/362, G/SPS/N/UGA/336"," G/SPS/N/BDI/109, G/SPS/N/KEN/287, G/SPS/N/RWA/102, G/SPS/N/TZA/362, G/SPS/N/UGA/336")</f>
      </c>
      <c r="D1614" s="8" t="s">
        <v>4987</v>
      </c>
      <c r="E1614" s="8" t="s">
        <v>4988</v>
      </c>
      <c r="F1614" s="8" t="s">
        <v>4989</v>
      </c>
      <c r="G1614" s="6" t="s">
        <v>4837</v>
      </c>
      <c r="H1614" s="6" t="s">
        <v>2022</v>
      </c>
      <c r="I1614" s="6" t="s">
        <v>38</v>
      </c>
      <c r="J1614" s="6" t="s">
        <v>39</v>
      </c>
      <c r="K1614" s="6" t="s">
        <v>40</v>
      </c>
      <c r="L1614" s="7">
        <v>45529</v>
      </c>
      <c r="M1614" s="6" t="s">
        <v>25</v>
      </c>
      <c r="N1614" s="8" t="s">
        <v>4990</v>
      </c>
      <c r="O1614" s="6">
        <f>HYPERLINK("https://docs.wto.org/imrd/directdoc.asp?DDFDocuments/t/G/SPS/NBDI109.DOCX", "https://docs.wto.org/imrd/directdoc.asp?DDFDocuments/t/G/SPS/NBDI109.DOCX")</f>
      </c>
      <c r="P1614" s="6">
        <f>HYPERLINK("https://docs.wto.org/imrd/directdoc.asp?DDFDocuments/u/G/SPS/NBDI109.DOCX", "https://docs.wto.org/imrd/directdoc.asp?DDFDocuments/u/G/SPS/NBDI109.DOCX")</f>
      </c>
      <c r="Q1614" s="6">
        <f>HYPERLINK("https://docs.wto.org/imrd/directdoc.asp?DDFDocuments/v/G/SPS/NBDI109.DOCX", "https://docs.wto.org/imrd/directdoc.asp?DDFDocuments/v/G/SPS/NBDI109.DOCX")</f>
      </c>
    </row>
    <row r="1615">
      <c r="A1615" s="6" t="s">
        <v>2041</v>
      </c>
      <c r="B1615" s="7">
        <v>45469</v>
      </c>
      <c r="C1615" s="6">
        <f>HYPERLINK("https://eping.wto.org/en/Search?viewData= G/SPS/N/BDI/111, G/SPS/N/KEN/289, G/SPS/N/RWA/104, G/SPS/N/TZA/364, G/SPS/N/UGA/338"," G/SPS/N/BDI/111, G/SPS/N/KEN/289, G/SPS/N/RWA/104, G/SPS/N/TZA/364, G/SPS/N/UGA/338")</f>
      </c>
      <c r="D1615" s="8" t="s">
        <v>4922</v>
      </c>
      <c r="E1615" s="8" t="s">
        <v>4923</v>
      </c>
      <c r="F1615" s="8" t="s">
        <v>4924</v>
      </c>
      <c r="G1615" s="6" t="s">
        <v>4876</v>
      </c>
      <c r="H1615" s="6" t="s">
        <v>2022</v>
      </c>
      <c r="I1615" s="6" t="s">
        <v>38</v>
      </c>
      <c r="J1615" s="6" t="s">
        <v>39</v>
      </c>
      <c r="K1615" s="6" t="s">
        <v>40</v>
      </c>
      <c r="L1615" s="7">
        <v>45529</v>
      </c>
      <c r="M1615" s="6" t="s">
        <v>25</v>
      </c>
      <c r="N1615" s="8" t="s">
        <v>4925</v>
      </c>
      <c r="O1615" s="6">
        <f>HYPERLINK("https://docs.wto.org/imrd/directdoc.asp?DDFDocuments/t/G/SPS/NBDI111.DOCX", "https://docs.wto.org/imrd/directdoc.asp?DDFDocuments/t/G/SPS/NBDI111.DOCX")</f>
      </c>
      <c r="P1615" s="6">
        <f>HYPERLINK("https://docs.wto.org/imrd/directdoc.asp?DDFDocuments/u/G/SPS/NBDI111.DOCX", "https://docs.wto.org/imrd/directdoc.asp?DDFDocuments/u/G/SPS/NBDI111.DOCX")</f>
      </c>
      <c r="Q1615" s="6">
        <f>HYPERLINK("https://docs.wto.org/imrd/directdoc.asp?DDFDocuments/v/G/SPS/NBDI111.DOCX", "https://docs.wto.org/imrd/directdoc.asp?DDFDocuments/v/G/SPS/NBDI111.DOCX")</f>
      </c>
    </row>
    <row r="1616">
      <c r="A1616" s="6" t="s">
        <v>115</v>
      </c>
      <c r="B1616" s="7">
        <v>45468</v>
      </c>
      <c r="C1616" s="6">
        <f>HYPERLINK("https://eping.wto.org/en/Search?viewData= G/TBT/N/BRA/1551"," G/TBT/N/BRA/1551")</f>
      </c>
      <c r="D1616" s="8" t="s">
        <v>4997</v>
      </c>
      <c r="E1616" s="8" t="s">
        <v>4998</v>
      </c>
      <c r="F1616" s="8" t="s">
        <v>951</v>
      </c>
      <c r="G1616" s="6" t="s">
        <v>40</v>
      </c>
      <c r="H1616" s="6" t="s">
        <v>1069</v>
      </c>
      <c r="I1616" s="6" t="s">
        <v>147</v>
      </c>
      <c r="J1616" s="6" t="s">
        <v>24</v>
      </c>
      <c r="K1616" s="6"/>
      <c r="L1616" s="7">
        <v>45530</v>
      </c>
      <c r="M1616" s="6" t="s">
        <v>25</v>
      </c>
      <c r="N1616" s="8" t="s">
        <v>4999</v>
      </c>
      <c r="O1616" s="6">
        <f>HYPERLINK("https://docs.wto.org/imrd/directdoc.asp?DDFDocuments/t/G/TBTN24/BRA1551.DOCX", "https://docs.wto.org/imrd/directdoc.asp?DDFDocuments/t/G/TBTN24/BRA1551.DOCX")</f>
      </c>
      <c r="P1616" s="6">
        <f>HYPERLINK("https://docs.wto.org/imrd/directdoc.asp?DDFDocuments/u/G/TBTN24/BRA1551.DOCX", "https://docs.wto.org/imrd/directdoc.asp?DDFDocuments/u/G/TBTN24/BRA1551.DOCX")</f>
      </c>
      <c r="Q1616" s="6">
        <f>HYPERLINK("https://docs.wto.org/imrd/directdoc.asp?DDFDocuments/v/G/TBTN24/BRA1551.DOCX", "https://docs.wto.org/imrd/directdoc.asp?DDFDocuments/v/G/TBTN24/BRA1551.DOCX")</f>
      </c>
    </row>
    <row r="1617">
      <c r="A1617" s="6" t="s">
        <v>115</v>
      </c>
      <c r="B1617" s="7">
        <v>45468</v>
      </c>
      <c r="C1617" s="6">
        <f>HYPERLINK("https://eping.wto.org/en/Search?viewData= G/TBT/N/BRA/1410/Add.1"," G/TBT/N/BRA/1410/Add.1")</f>
      </c>
      <c r="D1617" s="8" t="s">
        <v>5000</v>
      </c>
      <c r="E1617" s="8" t="s">
        <v>5001</v>
      </c>
      <c r="F1617" s="8" t="s">
        <v>5002</v>
      </c>
      <c r="G1617" s="6" t="s">
        <v>5003</v>
      </c>
      <c r="H1617" s="6" t="s">
        <v>1055</v>
      </c>
      <c r="I1617" s="6" t="s">
        <v>147</v>
      </c>
      <c r="J1617" s="6" t="s">
        <v>154</v>
      </c>
      <c r="K1617" s="6"/>
      <c r="L1617" s="7" t="s">
        <v>40</v>
      </c>
      <c r="M1617" s="6" t="s">
        <v>76</v>
      </c>
      <c r="N1617" s="8" t="s">
        <v>5004</v>
      </c>
      <c r="O1617" s="6">
        <f>HYPERLINK("https://docs.wto.org/imrd/directdoc.asp?DDFDocuments/t/G/TBTN22/BRA1410A1.DOCX", "https://docs.wto.org/imrd/directdoc.asp?DDFDocuments/t/G/TBTN22/BRA1410A1.DOCX")</f>
      </c>
      <c r="P1617" s="6">
        <f>HYPERLINK("https://docs.wto.org/imrd/directdoc.asp?DDFDocuments/u/G/TBTN22/BRA1410A1.DOCX", "https://docs.wto.org/imrd/directdoc.asp?DDFDocuments/u/G/TBTN22/BRA1410A1.DOCX")</f>
      </c>
      <c r="Q1617" s="6">
        <f>HYPERLINK("https://docs.wto.org/imrd/directdoc.asp?DDFDocuments/v/G/TBTN22/BRA1410A1.DOCX", "https://docs.wto.org/imrd/directdoc.asp?DDFDocuments/v/G/TBTN22/BRA1410A1.DOCX")</f>
      </c>
    </row>
    <row r="1618">
      <c r="A1618" s="6" t="s">
        <v>515</v>
      </c>
      <c r="B1618" s="7">
        <v>45468</v>
      </c>
      <c r="C1618" s="6">
        <f>HYPERLINK("https://eping.wto.org/en/Search?viewData= G/SPS/N/EU/772/Corr.1"," G/SPS/N/EU/772/Corr.1")</f>
      </c>
      <c r="D1618" s="8" t="s">
        <v>5005</v>
      </c>
      <c r="E1618" s="8" t="s">
        <v>5006</v>
      </c>
      <c r="F1618" s="8" t="s">
        <v>479</v>
      </c>
      <c r="G1618" s="6" t="s">
        <v>40</v>
      </c>
      <c r="H1618" s="6" t="s">
        <v>40</v>
      </c>
      <c r="I1618" s="6" t="s">
        <v>38</v>
      </c>
      <c r="J1618" s="6" t="s">
        <v>5007</v>
      </c>
      <c r="K1618" s="6"/>
      <c r="L1618" s="7" t="s">
        <v>40</v>
      </c>
      <c r="M1618" s="6" t="s">
        <v>224</v>
      </c>
      <c r="N1618" s="6"/>
      <c r="O1618" s="6">
        <f>HYPERLINK("https://docs.wto.org/imrd/directdoc.asp?DDFDocuments/t/G/SPS/NEU772C1.DOCX", "https://docs.wto.org/imrd/directdoc.asp?DDFDocuments/t/G/SPS/NEU772C1.DOCX")</f>
      </c>
      <c r="P1618" s="6"/>
      <c r="Q1618" s="6"/>
    </row>
    <row r="1619">
      <c r="A1619" s="6" t="s">
        <v>358</v>
      </c>
      <c r="B1619" s="7">
        <v>45468</v>
      </c>
      <c r="C1619" s="6">
        <f>HYPERLINK("https://eping.wto.org/en/Search?viewData= G/SPS/N/NZL/770"," G/SPS/N/NZL/770")</f>
      </c>
      <c r="D1619" s="8" t="s">
        <v>5008</v>
      </c>
      <c r="E1619" s="8" t="s">
        <v>5009</v>
      </c>
      <c r="F1619" s="8" t="s">
        <v>5010</v>
      </c>
      <c r="G1619" s="6" t="s">
        <v>5011</v>
      </c>
      <c r="H1619" s="6" t="s">
        <v>40</v>
      </c>
      <c r="I1619" s="6" t="s">
        <v>369</v>
      </c>
      <c r="J1619" s="6" t="s">
        <v>1305</v>
      </c>
      <c r="K1619" s="6"/>
      <c r="L1619" s="7">
        <v>45524</v>
      </c>
      <c r="M1619" s="6" t="s">
        <v>25</v>
      </c>
      <c r="N1619" s="8" t="s">
        <v>5012</v>
      </c>
      <c r="O1619" s="6">
        <f>HYPERLINK("https://docs.wto.org/imrd/directdoc.asp?DDFDocuments/t/G/SPS/NNZL770.DOCX", "https://docs.wto.org/imrd/directdoc.asp?DDFDocuments/t/G/SPS/NNZL770.DOCX")</f>
      </c>
      <c r="P1619" s="6">
        <f>HYPERLINK("https://docs.wto.org/imrd/directdoc.asp?DDFDocuments/u/G/SPS/NNZL770.DOCX", "https://docs.wto.org/imrd/directdoc.asp?DDFDocuments/u/G/SPS/NNZL770.DOCX")</f>
      </c>
      <c r="Q1619" s="6">
        <f>HYPERLINK("https://docs.wto.org/imrd/directdoc.asp?DDFDocuments/v/G/SPS/NNZL770.DOCX", "https://docs.wto.org/imrd/directdoc.asp?DDFDocuments/v/G/SPS/NNZL770.DOCX")</f>
      </c>
    </row>
    <row r="1620">
      <c r="A1620" s="6" t="s">
        <v>1688</v>
      </c>
      <c r="B1620" s="7">
        <v>45468</v>
      </c>
      <c r="C1620" s="6">
        <f>HYPERLINK("https://eping.wto.org/en/Search?viewData= G/TBT/N/THA/702/Rev.1"," G/TBT/N/THA/702/Rev.1")</f>
      </c>
      <c r="D1620" s="8" t="s">
        <v>5013</v>
      </c>
      <c r="E1620" s="8" t="s">
        <v>5014</v>
      </c>
      <c r="F1620" s="8" t="s">
        <v>5015</v>
      </c>
      <c r="G1620" s="6" t="s">
        <v>40</v>
      </c>
      <c r="H1620" s="6" t="s">
        <v>3619</v>
      </c>
      <c r="I1620" s="6" t="s">
        <v>165</v>
      </c>
      <c r="J1620" s="6" t="s">
        <v>40</v>
      </c>
      <c r="K1620" s="6"/>
      <c r="L1620" s="7">
        <v>45528</v>
      </c>
      <c r="M1620" s="6" t="s">
        <v>214</v>
      </c>
      <c r="N1620" s="8" t="s">
        <v>5016</v>
      </c>
      <c r="O1620" s="6">
        <f>HYPERLINK("https://docs.wto.org/imrd/directdoc.asp?DDFDocuments/t/G/TBTN23/THA702R1.DOCX", "https://docs.wto.org/imrd/directdoc.asp?DDFDocuments/t/G/TBTN23/THA702R1.DOCX")</f>
      </c>
      <c r="P1620" s="6">
        <f>HYPERLINK("https://docs.wto.org/imrd/directdoc.asp?DDFDocuments/u/G/TBTN23/THA702R1.DOCX", "https://docs.wto.org/imrd/directdoc.asp?DDFDocuments/u/G/TBTN23/THA702R1.DOCX")</f>
      </c>
      <c r="Q1620" s="6">
        <f>HYPERLINK("https://docs.wto.org/imrd/directdoc.asp?DDFDocuments/v/G/TBTN23/THA702R1.DOCX", "https://docs.wto.org/imrd/directdoc.asp?DDFDocuments/v/G/TBTN23/THA702R1.DOCX")</f>
      </c>
    </row>
    <row r="1621">
      <c r="A1621" s="6" t="s">
        <v>5017</v>
      </c>
      <c r="B1621" s="7">
        <v>45468</v>
      </c>
      <c r="C1621" s="6">
        <f>HYPERLINK("https://eping.wto.org/en/Search?viewData= G/TBT/N/MOZ/28"," G/TBT/N/MOZ/28")</f>
      </c>
      <c r="D1621" s="8" t="s">
        <v>5018</v>
      </c>
      <c r="E1621" s="8" t="s">
        <v>5019</v>
      </c>
      <c r="F1621" s="8" t="s">
        <v>5020</v>
      </c>
      <c r="G1621" s="6" t="s">
        <v>40</v>
      </c>
      <c r="H1621" s="6" t="s">
        <v>40</v>
      </c>
      <c r="I1621" s="6" t="s">
        <v>5021</v>
      </c>
      <c r="J1621" s="6" t="s">
        <v>40</v>
      </c>
      <c r="K1621" s="6"/>
      <c r="L1621" s="7" t="s">
        <v>40</v>
      </c>
      <c r="M1621" s="6" t="s">
        <v>25</v>
      </c>
      <c r="N1621" s="8" t="s">
        <v>5022</v>
      </c>
      <c r="O1621" s="6">
        <f>HYPERLINK("https://docs.wto.org/imrd/directdoc.asp?DDFDocuments/t/G/TBTN24/MOZ28.DOCX", "https://docs.wto.org/imrd/directdoc.asp?DDFDocuments/t/G/TBTN24/MOZ28.DOCX")</f>
      </c>
      <c r="P1621" s="6">
        <f>HYPERLINK("https://docs.wto.org/imrd/directdoc.asp?DDFDocuments/u/G/TBTN24/MOZ28.DOCX", "https://docs.wto.org/imrd/directdoc.asp?DDFDocuments/u/G/TBTN24/MOZ28.DOCX")</f>
      </c>
      <c r="Q1621" s="6">
        <f>HYPERLINK("https://docs.wto.org/imrd/directdoc.asp?DDFDocuments/v/G/TBTN24/MOZ28.DOCX", "https://docs.wto.org/imrd/directdoc.asp?DDFDocuments/v/G/TBTN24/MOZ28.DOCX")</f>
      </c>
    </row>
    <row r="1622">
      <c r="A1622" s="6" t="s">
        <v>160</v>
      </c>
      <c r="B1622" s="7">
        <v>45468</v>
      </c>
      <c r="C1622" s="6">
        <f>HYPERLINK("https://eping.wto.org/en/Search?viewData= G/TBT/N/USA/2013/Add.2"," G/TBT/N/USA/2013/Add.2")</f>
      </c>
      <c r="D1622" s="8" t="s">
        <v>5023</v>
      </c>
      <c r="E1622" s="8" t="s">
        <v>5024</v>
      </c>
      <c r="F1622" s="8" t="s">
        <v>5025</v>
      </c>
      <c r="G1622" s="6" t="s">
        <v>40</v>
      </c>
      <c r="H1622" s="6" t="s">
        <v>5026</v>
      </c>
      <c r="I1622" s="6" t="s">
        <v>213</v>
      </c>
      <c r="J1622" s="6" t="s">
        <v>40</v>
      </c>
      <c r="K1622" s="6"/>
      <c r="L1622" s="7" t="s">
        <v>40</v>
      </c>
      <c r="M1622" s="6" t="s">
        <v>76</v>
      </c>
      <c r="N1622" s="8" t="s">
        <v>5027</v>
      </c>
      <c r="O1622" s="6">
        <f>HYPERLINK("https://docs.wto.org/imrd/directdoc.asp?DDFDocuments/t/G/TBTN23/USA2013A2.DOCX", "https://docs.wto.org/imrd/directdoc.asp?DDFDocuments/t/G/TBTN23/USA2013A2.DOCX")</f>
      </c>
      <c r="P1622" s="6">
        <f>HYPERLINK("https://docs.wto.org/imrd/directdoc.asp?DDFDocuments/u/G/TBTN23/USA2013A2.DOCX", "https://docs.wto.org/imrd/directdoc.asp?DDFDocuments/u/G/TBTN23/USA2013A2.DOCX")</f>
      </c>
      <c r="Q1622" s="6">
        <f>HYPERLINK("https://docs.wto.org/imrd/directdoc.asp?DDFDocuments/v/G/TBTN23/USA2013A2.DOCX", "https://docs.wto.org/imrd/directdoc.asp?DDFDocuments/v/G/TBTN23/USA2013A2.DOCX")</f>
      </c>
    </row>
    <row r="1623">
      <c r="A1623" s="6" t="s">
        <v>515</v>
      </c>
      <c r="B1623" s="7">
        <v>45468</v>
      </c>
      <c r="C1623" s="6">
        <f>HYPERLINK("https://eping.wto.org/en/Search?viewData= G/SPS/N/EU/729/Add.1"," G/SPS/N/EU/729/Add.1")</f>
      </c>
      <c r="D1623" s="8" t="s">
        <v>5028</v>
      </c>
      <c r="E1623" s="8" t="s">
        <v>5029</v>
      </c>
      <c r="F1623" s="8" t="s">
        <v>1667</v>
      </c>
      <c r="G1623" s="6" t="s">
        <v>3047</v>
      </c>
      <c r="H1623" s="6" t="s">
        <v>40</v>
      </c>
      <c r="I1623" s="6" t="s">
        <v>791</v>
      </c>
      <c r="J1623" s="6" t="s">
        <v>5030</v>
      </c>
      <c r="K1623" s="6"/>
      <c r="L1623" s="7" t="s">
        <v>40</v>
      </c>
      <c r="M1623" s="6" t="s">
        <v>76</v>
      </c>
      <c r="N1623" s="8" t="s">
        <v>5031</v>
      </c>
      <c r="O1623" s="6">
        <f>HYPERLINK("https://docs.wto.org/imrd/directdoc.asp?DDFDocuments/t/G/SPS/NEU729A1.DOCX", "https://docs.wto.org/imrd/directdoc.asp?DDFDocuments/t/G/SPS/NEU729A1.DOCX")</f>
      </c>
      <c r="P1623" s="6">
        <f>HYPERLINK("https://docs.wto.org/imrd/directdoc.asp?DDFDocuments/u/G/SPS/NEU729A1.DOCX", "https://docs.wto.org/imrd/directdoc.asp?DDFDocuments/u/G/SPS/NEU729A1.DOCX")</f>
      </c>
      <c r="Q1623" s="6">
        <f>HYPERLINK("https://docs.wto.org/imrd/directdoc.asp?DDFDocuments/v/G/SPS/NEU729A1.DOCX", "https://docs.wto.org/imrd/directdoc.asp?DDFDocuments/v/G/SPS/NEU729A1.DOCX")</f>
      </c>
    </row>
    <row r="1624">
      <c r="A1624" s="6" t="s">
        <v>115</v>
      </c>
      <c r="B1624" s="7">
        <v>45468</v>
      </c>
      <c r="C1624" s="6">
        <f>HYPERLINK("https://eping.wto.org/en/Search?viewData= G/TBT/N/BRA/764/Add.5"," G/TBT/N/BRA/764/Add.5")</f>
      </c>
      <c r="D1624" s="8" t="s">
        <v>5032</v>
      </c>
      <c r="E1624" s="8" t="s">
        <v>5033</v>
      </c>
      <c r="F1624" s="8" t="s">
        <v>5034</v>
      </c>
      <c r="G1624" s="6" t="s">
        <v>40</v>
      </c>
      <c r="H1624" s="6" t="s">
        <v>5035</v>
      </c>
      <c r="I1624" s="6" t="s">
        <v>280</v>
      </c>
      <c r="J1624" s="6" t="s">
        <v>122</v>
      </c>
      <c r="K1624" s="6"/>
      <c r="L1624" s="7" t="s">
        <v>40</v>
      </c>
      <c r="M1624" s="6" t="s">
        <v>76</v>
      </c>
      <c r="N1624" s="6"/>
      <c r="O1624" s="6">
        <f>HYPERLINK("https://docs.wto.org/imrd/directdoc.asp?DDFDocuments/t/G/TBTN17/BRA764A5.DOCX", "https://docs.wto.org/imrd/directdoc.asp?DDFDocuments/t/G/TBTN17/BRA764A5.DOCX")</f>
      </c>
      <c r="P1624" s="6">
        <f>HYPERLINK("https://docs.wto.org/imrd/directdoc.asp?DDFDocuments/u/G/TBTN17/BRA764A5.DOCX", "https://docs.wto.org/imrd/directdoc.asp?DDFDocuments/u/G/TBTN17/BRA764A5.DOCX")</f>
      </c>
      <c r="Q1624" s="6">
        <f>HYPERLINK("https://docs.wto.org/imrd/directdoc.asp?DDFDocuments/v/G/TBTN17/BRA764A5.DOCX", "https://docs.wto.org/imrd/directdoc.asp?DDFDocuments/v/G/TBTN17/BRA764A5.DOCX")</f>
      </c>
    </row>
    <row r="1625">
      <c r="A1625" s="6" t="s">
        <v>1688</v>
      </c>
      <c r="B1625" s="7">
        <v>45468</v>
      </c>
      <c r="C1625" s="6">
        <f>HYPERLINK("https://eping.wto.org/en/Search?viewData= G/TBT/N/THA/671/Rev.1"," G/TBT/N/THA/671/Rev.1")</f>
      </c>
      <c r="D1625" s="8" t="s">
        <v>5036</v>
      </c>
      <c r="E1625" s="8" t="s">
        <v>5037</v>
      </c>
      <c r="F1625" s="8" t="s">
        <v>5038</v>
      </c>
      <c r="G1625" s="6" t="s">
        <v>40</v>
      </c>
      <c r="H1625" s="6" t="s">
        <v>5039</v>
      </c>
      <c r="I1625" s="6" t="s">
        <v>147</v>
      </c>
      <c r="J1625" s="6" t="s">
        <v>40</v>
      </c>
      <c r="K1625" s="6"/>
      <c r="L1625" s="7">
        <v>45528</v>
      </c>
      <c r="M1625" s="6" t="s">
        <v>214</v>
      </c>
      <c r="N1625" s="8" t="s">
        <v>5040</v>
      </c>
      <c r="O1625" s="6">
        <f>HYPERLINK("https://docs.wto.org/imrd/directdoc.asp?DDFDocuments/t/G/TBTN22/THA671R1.DOCX", "https://docs.wto.org/imrd/directdoc.asp?DDFDocuments/t/G/TBTN22/THA671R1.DOCX")</f>
      </c>
      <c r="P1625" s="6">
        <f>HYPERLINK("https://docs.wto.org/imrd/directdoc.asp?DDFDocuments/u/G/TBTN22/THA671R1.DOCX", "https://docs.wto.org/imrd/directdoc.asp?DDFDocuments/u/G/TBTN22/THA671R1.DOCX")</f>
      </c>
      <c r="Q1625" s="6">
        <f>HYPERLINK("https://docs.wto.org/imrd/directdoc.asp?DDFDocuments/v/G/TBTN22/THA671R1.DOCX", "https://docs.wto.org/imrd/directdoc.asp?DDFDocuments/v/G/TBTN22/THA671R1.DOCX")</f>
      </c>
    </row>
    <row r="1626">
      <c r="A1626" s="6" t="s">
        <v>401</v>
      </c>
      <c r="B1626" s="7">
        <v>45468</v>
      </c>
      <c r="C1626" s="6">
        <f>HYPERLINK("https://eping.wto.org/en/Search?viewData= G/TBT/N/KOR/1215"," G/TBT/N/KOR/1215")</f>
      </c>
      <c r="D1626" s="8" t="s">
        <v>5041</v>
      </c>
      <c r="E1626" s="8" t="s">
        <v>5042</v>
      </c>
      <c r="F1626" s="8" t="s">
        <v>5043</v>
      </c>
      <c r="G1626" s="6" t="s">
        <v>40</v>
      </c>
      <c r="H1626" s="6" t="s">
        <v>5044</v>
      </c>
      <c r="I1626" s="6" t="s">
        <v>147</v>
      </c>
      <c r="J1626" s="6" t="s">
        <v>95</v>
      </c>
      <c r="K1626" s="6"/>
      <c r="L1626" s="7">
        <v>45528</v>
      </c>
      <c r="M1626" s="6" t="s">
        <v>25</v>
      </c>
      <c r="N1626" s="8" t="s">
        <v>5045</v>
      </c>
      <c r="O1626" s="6">
        <f>HYPERLINK("https://docs.wto.org/imrd/directdoc.asp?DDFDocuments/t/G/TBTN24/KOR1215.DOCX", "https://docs.wto.org/imrd/directdoc.asp?DDFDocuments/t/G/TBTN24/KOR1215.DOCX")</f>
      </c>
      <c r="P1626" s="6">
        <f>HYPERLINK("https://docs.wto.org/imrd/directdoc.asp?DDFDocuments/u/G/TBTN24/KOR1215.DOCX", "https://docs.wto.org/imrd/directdoc.asp?DDFDocuments/u/G/TBTN24/KOR1215.DOCX")</f>
      </c>
      <c r="Q1626" s="6">
        <f>HYPERLINK("https://docs.wto.org/imrd/directdoc.asp?DDFDocuments/v/G/TBTN24/KOR1215.DOCX", "https://docs.wto.org/imrd/directdoc.asp?DDFDocuments/v/G/TBTN24/KOR1215.DOCX")</f>
      </c>
    </row>
    <row r="1627">
      <c r="A1627" s="6" t="s">
        <v>160</v>
      </c>
      <c r="B1627" s="7">
        <v>45468</v>
      </c>
      <c r="C1627" s="6">
        <f>HYPERLINK("https://eping.wto.org/en/Search?viewData= G/TBT/N/USA/2017/Add.3/Corr.1"," G/TBT/N/USA/2017/Add.3/Corr.1")</f>
      </c>
      <c r="D1627" s="8" t="s">
        <v>5046</v>
      </c>
      <c r="E1627" s="8" t="s">
        <v>5047</v>
      </c>
      <c r="F1627" s="8" t="s">
        <v>5048</v>
      </c>
      <c r="G1627" s="6" t="s">
        <v>40</v>
      </c>
      <c r="H1627" s="6" t="s">
        <v>5049</v>
      </c>
      <c r="I1627" s="6" t="s">
        <v>147</v>
      </c>
      <c r="J1627" s="6" t="s">
        <v>40</v>
      </c>
      <c r="K1627" s="6"/>
      <c r="L1627" s="7" t="s">
        <v>40</v>
      </c>
      <c r="M1627" s="6" t="s">
        <v>224</v>
      </c>
      <c r="N1627" s="8" t="s">
        <v>5050</v>
      </c>
      <c r="O1627" s="6">
        <f>HYPERLINK("https://docs.wto.org/imrd/directdoc.asp?DDFDocuments/t/G/TBTN23/USA2017A3C1.DOCX", "https://docs.wto.org/imrd/directdoc.asp?DDFDocuments/t/G/TBTN23/USA2017A3C1.DOCX")</f>
      </c>
      <c r="P1627" s="6">
        <f>HYPERLINK("https://docs.wto.org/imrd/directdoc.asp?DDFDocuments/u/G/TBTN23/USA2017A3C1.DOCX", "https://docs.wto.org/imrd/directdoc.asp?DDFDocuments/u/G/TBTN23/USA2017A3C1.DOCX")</f>
      </c>
      <c r="Q1627" s="6">
        <f>HYPERLINK("https://docs.wto.org/imrd/directdoc.asp?DDFDocuments/v/G/TBTN23/USA2017A3C1.DOCX", "https://docs.wto.org/imrd/directdoc.asp?DDFDocuments/v/G/TBTN23/USA2017A3C1.DOCX")</f>
      </c>
    </row>
    <row r="1628">
      <c r="A1628" s="6" t="s">
        <v>160</v>
      </c>
      <c r="B1628" s="7">
        <v>45468</v>
      </c>
      <c r="C1628" s="6">
        <f>HYPERLINK("https://eping.wto.org/en/Search?viewData= G/TBT/N/USA/2037/Add.2"," G/TBT/N/USA/2037/Add.2")</f>
      </c>
      <c r="D1628" s="8" t="s">
        <v>5051</v>
      </c>
      <c r="E1628" s="8" t="s">
        <v>5052</v>
      </c>
      <c r="F1628" s="8" t="s">
        <v>3097</v>
      </c>
      <c r="G1628" s="6" t="s">
        <v>5053</v>
      </c>
      <c r="H1628" s="6" t="s">
        <v>5054</v>
      </c>
      <c r="I1628" s="6" t="s">
        <v>3100</v>
      </c>
      <c r="J1628" s="6" t="s">
        <v>40</v>
      </c>
      <c r="K1628" s="6"/>
      <c r="L1628" s="7" t="s">
        <v>40</v>
      </c>
      <c r="M1628" s="6" t="s">
        <v>76</v>
      </c>
      <c r="N1628" s="8" t="s">
        <v>5055</v>
      </c>
      <c r="O1628" s="6">
        <f>HYPERLINK("https://docs.wto.org/imrd/directdoc.asp?DDFDocuments/t/G/TBTN23/USA2037A2.DOCX", "https://docs.wto.org/imrd/directdoc.asp?DDFDocuments/t/G/TBTN23/USA2037A2.DOCX")</f>
      </c>
      <c r="P1628" s="6">
        <f>HYPERLINK("https://docs.wto.org/imrd/directdoc.asp?DDFDocuments/u/G/TBTN23/USA2037A2.DOCX", "https://docs.wto.org/imrd/directdoc.asp?DDFDocuments/u/G/TBTN23/USA2037A2.DOCX")</f>
      </c>
      <c r="Q1628" s="6">
        <f>HYPERLINK("https://docs.wto.org/imrd/directdoc.asp?DDFDocuments/v/G/TBTN23/USA2037A2.DOCX", "https://docs.wto.org/imrd/directdoc.asp?DDFDocuments/v/G/TBTN23/USA2037A2.DOCX")</f>
      </c>
    </row>
    <row r="1629">
      <c r="A1629" s="6" t="s">
        <v>401</v>
      </c>
      <c r="B1629" s="7">
        <v>45468</v>
      </c>
      <c r="C1629" s="6">
        <f>HYPERLINK("https://eping.wto.org/en/Search?viewData= G/TBT/N/KOR/1216"," G/TBT/N/KOR/1216")</f>
      </c>
      <c r="D1629" s="8" t="s">
        <v>5056</v>
      </c>
      <c r="E1629" s="8" t="s">
        <v>5057</v>
      </c>
      <c r="F1629" s="8" t="s">
        <v>5043</v>
      </c>
      <c r="G1629" s="6" t="s">
        <v>40</v>
      </c>
      <c r="H1629" s="6" t="s">
        <v>5044</v>
      </c>
      <c r="I1629" s="6" t="s">
        <v>147</v>
      </c>
      <c r="J1629" s="6" t="s">
        <v>95</v>
      </c>
      <c r="K1629" s="6"/>
      <c r="L1629" s="7">
        <v>45528</v>
      </c>
      <c r="M1629" s="6" t="s">
        <v>25</v>
      </c>
      <c r="N1629" s="8" t="s">
        <v>5058</v>
      </c>
      <c r="O1629" s="6">
        <f>HYPERLINK("https://docs.wto.org/imrd/directdoc.asp?DDFDocuments/t/G/TBTN24/KOR1216.DOCX", "https://docs.wto.org/imrd/directdoc.asp?DDFDocuments/t/G/TBTN24/KOR1216.DOCX")</f>
      </c>
      <c r="P1629" s="6">
        <f>HYPERLINK("https://docs.wto.org/imrd/directdoc.asp?DDFDocuments/u/G/TBTN24/KOR1216.DOCX", "https://docs.wto.org/imrd/directdoc.asp?DDFDocuments/u/G/TBTN24/KOR1216.DOCX")</f>
      </c>
      <c r="Q1629" s="6">
        <f>HYPERLINK("https://docs.wto.org/imrd/directdoc.asp?DDFDocuments/v/G/TBTN24/KOR1216.DOCX", "https://docs.wto.org/imrd/directdoc.asp?DDFDocuments/v/G/TBTN24/KOR1216.DOCX")</f>
      </c>
    </row>
    <row r="1630">
      <c r="A1630" s="6" t="s">
        <v>99</v>
      </c>
      <c r="B1630" s="7">
        <v>45467</v>
      </c>
      <c r="C1630" s="6">
        <f>HYPERLINK("https://eping.wto.org/en/Search?viewData= G/SPS/N/AUS/589"," G/SPS/N/AUS/589")</f>
      </c>
      <c r="D1630" s="8" t="s">
        <v>5059</v>
      </c>
      <c r="E1630" s="8" t="s">
        <v>5060</v>
      </c>
      <c r="F1630" s="8" t="s">
        <v>5061</v>
      </c>
      <c r="G1630" s="6" t="s">
        <v>5062</v>
      </c>
      <c r="H1630" s="6" t="s">
        <v>40</v>
      </c>
      <c r="I1630" s="6" t="s">
        <v>184</v>
      </c>
      <c r="J1630" s="6" t="s">
        <v>5063</v>
      </c>
      <c r="K1630" s="6" t="s">
        <v>358</v>
      </c>
      <c r="L1630" s="7" t="s">
        <v>40</v>
      </c>
      <c r="M1630" s="6" t="s">
        <v>25</v>
      </c>
      <c r="N1630" s="8" t="s">
        <v>5064</v>
      </c>
      <c r="O1630" s="6">
        <f>HYPERLINK("https://docs.wto.org/imrd/directdoc.asp?DDFDocuments/t/G/SPS/NAUS589.DOCX", "https://docs.wto.org/imrd/directdoc.asp?DDFDocuments/t/G/SPS/NAUS589.DOCX")</f>
      </c>
      <c r="P1630" s="6">
        <f>HYPERLINK("https://docs.wto.org/imrd/directdoc.asp?DDFDocuments/u/G/SPS/NAUS589.DOCX", "https://docs.wto.org/imrd/directdoc.asp?DDFDocuments/u/G/SPS/NAUS589.DOCX")</f>
      </c>
      <c r="Q1630" s="6">
        <f>HYPERLINK("https://docs.wto.org/imrd/directdoc.asp?DDFDocuments/v/G/SPS/NAUS589.DOCX", "https://docs.wto.org/imrd/directdoc.asp?DDFDocuments/v/G/SPS/NAUS589.DOCX")</f>
      </c>
    </row>
    <row r="1631">
      <c r="A1631" s="6" t="s">
        <v>115</v>
      </c>
      <c r="B1631" s="7">
        <v>45467</v>
      </c>
      <c r="C1631" s="6">
        <f>HYPERLINK("https://eping.wto.org/en/Search?viewData= G/SPS/N/BRA/2309"," G/SPS/N/BRA/2309")</f>
      </c>
      <c r="D1631" s="8" t="s">
        <v>396</v>
      </c>
      <c r="E1631" s="8" t="s">
        <v>5065</v>
      </c>
      <c r="F1631" s="8" t="s">
        <v>233</v>
      </c>
      <c r="G1631" s="6" t="s">
        <v>40</v>
      </c>
      <c r="H1631" s="6" t="s">
        <v>234</v>
      </c>
      <c r="I1631" s="6" t="s">
        <v>38</v>
      </c>
      <c r="J1631" s="6" t="s">
        <v>103</v>
      </c>
      <c r="K1631" s="6"/>
      <c r="L1631" s="7">
        <v>45520</v>
      </c>
      <c r="M1631" s="6" t="s">
        <v>25</v>
      </c>
      <c r="N1631" s="8" t="s">
        <v>5066</v>
      </c>
      <c r="O1631" s="6">
        <f>HYPERLINK("https://docs.wto.org/imrd/directdoc.asp?DDFDocuments/t/G/SPS/NBRA2309.DOCX", "https://docs.wto.org/imrd/directdoc.asp?DDFDocuments/t/G/SPS/NBRA2309.DOCX")</f>
      </c>
      <c r="P1631" s="6">
        <f>HYPERLINK("https://docs.wto.org/imrd/directdoc.asp?DDFDocuments/u/G/SPS/NBRA2309.DOCX", "https://docs.wto.org/imrd/directdoc.asp?DDFDocuments/u/G/SPS/NBRA2309.DOCX")</f>
      </c>
      <c r="Q1631" s="6">
        <f>HYPERLINK("https://docs.wto.org/imrd/directdoc.asp?DDFDocuments/v/G/SPS/NBRA2309.DOCX", "https://docs.wto.org/imrd/directdoc.asp?DDFDocuments/v/G/SPS/NBRA2309.DOCX")</f>
      </c>
    </row>
    <row r="1632">
      <c r="A1632" s="6" t="s">
        <v>115</v>
      </c>
      <c r="B1632" s="7">
        <v>45467</v>
      </c>
      <c r="C1632" s="6">
        <f>HYPERLINK("https://eping.wto.org/en/Search?viewData= G/SPS/N/BRA/2310"," G/SPS/N/BRA/2310")</f>
      </c>
      <c r="D1632" s="8" t="s">
        <v>580</v>
      </c>
      <c r="E1632" s="8" t="s">
        <v>5067</v>
      </c>
      <c r="F1632" s="8" t="s">
        <v>233</v>
      </c>
      <c r="G1632" s="6" t="s">
        <v>40</v>
      </c>
      <c r="H1632" s="6" t="s">
        <v>234</v>
      </c>
      <c r="I1632" s="6" t="s">
        <v>38</v>
      </c>
      <c r="J1632" s="6" t="s">
        <v>103</v>
      </c>
      <c r="K1632" s="6"/>
      <c r="L1632" s="7">
        <v>45520</v>
      </c>
      <c r="M1632" s="6" t="s">
        <v>25</v>
      </c>
      <c r="N1632" s="8" t="s">
        <v>5068</v>
      </c>
      <c r="O1632" s="6">
        <f>HYPERLINK("https://docs.wto.org/imrd/directdoc.asp?DDFDocuments/t/G/SPS/NBRA2310.DOCX", "https://docs.wto.org/imrd/directdoc.asp?DDFDocuments/t/G/SPS/NBRA2310.DOCX")</f>
      </c>
      <c r="P1632" s="6">
        <f>HYPERLINK("https://docs.wto.org/imrd/directdoc.asp?DDFDocuments/u/G/SPS/NBRA2310.DOCX", "https://docs.wto.org/imrd/directdoc.asp?DDFDocuments/u/G/SPS/NBRA2310.DOCX")</f>
      </c>
      <c r="Q1632" s="6">
        <f>HYPERLINK("https://docs.wto.org/imrd/directdoc.asp?DDFDocuments/v/G/SPS/NBRA2310.DOCX", "https://docs.wto.org/imrd/directdoc.asp?DDFDocuments/v/G/SPS/NBRA2310.DOCX")</f>
      </c>
    </row>
    <row r="1633">
      <c r="A1633" s="6" t="s">
        <v>584</v>
      </c>
      <c r="B1633" s="7">
        <v>45467</v>
      </c>
      <c r="C1633" s="6">
        <f>HYPERLINK("https://eping.wto.org/en/Search?viewData= G/SPS/N/GBR/63"," G/SPS/N/GBR/63")</f>
      </c>
      <c r="D1633" s="8" t="s">
        <v>5069</v>
      </c>
      <c r="E1633" s="8" t="s">
        <v>5070</v>
      </c>
      <c r="F1633" s="8" t="s">
        <v>5071</v>
      </c>
      <c r="G1633" s="6" t="s">
        <v>5072</v>
      </c>
      <c r="H1633" s="6" t="s">
        <v>40</v>
      </c>
      <c r="I1633" s="6" t="s">
        <v>38</v>
      </c>
      <c r="J1633" s="6" t="s">
        <v>5073</v>
      </c>
      <c r="K1633" s="6" t="s">
        <v>5074</v>
      </c>
      <c r="L1633" s="7">
        <v>45527</v>
      </c>
      <c r="M1633" s="6" t="s">
        <v>25</v>
      </c>
      <c r="N1633" s="8" t="s">
        <v>5075</v>
      </c>
      <c r="O1633" s="6">
        <f>HYPERLINK("https://docs.wto.org/imrd/directdoc.asp?DDFDocuments/t/G/SPS/NGBR63.DOCX", "https://docs.wto.org/imrd/directdoc.asp?DDFDocuments/t/G/SPS/NGBR63.DOCX")</f>
      </c>
      <c r="P1633" s="6">
        <f>HYPERLINK("https://docs.wto.org/imrd/directdoc.asp?DDFDocuments/u/G/SPS/NGBR63.DOCX", "https://docs.wto.org/imrd/directdoc.asp?DDFDocuments/u/G/SPS/NGBR63.DOCX")</f>
      </c>
      <c r="Q1633" s="6">
        <f>HYPERLINK("https://docs.wto.org/imrd/directdoc.asp?DDFDocuments/v/G/SPS/NGBR63.DOCX", "https://docs.wto.org/imrd/directdoc.asp?DDFDocuments/v/G/SPS/NGBR63.DOCX")</f>
      </c>
    </row>
    <row r="1634">
      <c r="A1634" s="6" t="s">
        <v>180</v>
      </c>
      <c r="B1634" s="7">
        <v>45467</v>
      </c>
      <c r="C1634" s="6">
        <f>HYPERLINK("https://eping.wto.org/en/Search?viewData= G/TBT/N/CRI/201"," G/TBT/N/CRI/201")</f>
      </c>
      <c r="D1634" s="8" t="s">
        <v>5076</v>
      </c>
      <c r="E1634" s="8" t="s">
        <v>5077</v>
      </c>
      <c r="F1634" s="8" t="s">
        <v>5078</v>
      </c>
      <c r="G1634" s="6" t="s">
        <v>5079</v>
      </c>
      <c r="H1634" s="6" t="s">
        <v>40</v>
      </c>
      <c r="I1634" s="6" t="s">
        <v>1815</v>
      </c>
      <c r="J1634" s="6" t="s">
        <v>95</v>
      </c>
      <c r="K1634" s="6"/>
      <c r="L1634" s="7">
        <v>45527</v>
      </c>
      <c r="M1634" s="6" t="s">
        <v>25</v>
      </c>
      <c r="N1634" s="8" t="s">
        <v>5080</v>
      </c>
      <c r="O1634" s="6">
        <f>HYPERLINK("https://docs.wto.org/imrd/directdoc.asp?DDFDocuments/t/G/TBTN24/CRI201.DOCX", "https://docs.wto.org/imrd/directdoc.asp?DDFDocuments/t/G/TBTN24/CRI201.DOCX")</f>
      </c>
      <c r="P1634" s="6">
        <f>HYPERLINK("https://docs.wto.org/imrd/directdoc.asp?DDFDocuments/u/G/TBTN24/CRI201.DOCX", "https://docs.wto.org/imrd/directdoc.asp?DDFDocuments/u/G/TBTN24/CRI201.DOCX")</f>
      </c>
      <c r="Q1634" s="6">
        <f>HYPERLINK("https://docs.wto.org/imrd/directdoc.asp?DDFDocuments/v/G/TBTN24/CRI201.DOCX", "https://docs.wto.org/imrd/directdoc.asp?DDFDocuments/v/G/TBTN24/CRI201.DOCX")</f>
      </c>
    </row>
    <row r="1635">
      <c r="A1635" s="6" t="s">
        <v>419</v>
      </c>
      <c r="B1635" s="7">
        <v>45467</v>
      </c>
      <c r="C1635" s="6">
        <f>HYPERLINK("https://eping.wto.org/en/Search?viewData= G/TBT/N/JPN/815"," G/TBT/N/JPN/815")</f>
      </c>
      <c r="D1635" s="8" t="s">
        <v>5081</v>
      </c>
      <c r="E1635" s="8" t="s">
        <v>5082</v>
      </c>
      <c r="F1635" s="8" t="s">
        <v>5083</v>
      </c>
      <c r="G1635" s="6" t="s">
        <v>40</v>
      </c>
      <c r="H1635" s="6" t="s">
        <v>93</v>
      </c>
      <c r="I1635" s="6" t="s">
        <v>142</v>
      </c>
      <c r="J1635" s="6" t="s">
        <v>95</v>
      </c>
      <c r="K1635" s="6"/>
      <c r="L1635" s="7">
        <v>45496</v>
      </c>
      <c r="M1635" s="6" t="s">
        <v>25</v>
      </c>
      <c r="N1635" s="8" t="s">
        <v>5084</v>
      </c>
      <c r="O1635" s="6">
        <f>HYPERLINK("https://docs.wto.org/imrd/directdoc.asp?DDFDocuments/t/G/TBTN24/JPN815.DOCX", "https://docs.wto.org/imrd/directdoc.asp?DDFDocuments/t/G/TBTN24/JPN815.DOCX")</f>
      </c>
      <c r="P1635" s="6">
        <f>HYPERLINK("https://docs.wto.org/imrd/directdoc.asp?DDFDocuments/u/G/TBTN24/JPN815.DOCX", "https://docs.wto.org/imrd/directdoc.asp?DDFDocuments/u/G/TBTN24/JPN815.DOCX")</f>
      </c>
      <c r="Q1635" s="6">
        <f>HYPERLINK("https://docs.wto.org/imrd/directdoc.asp?DDFDocuments/v/G/TBTN24/JPN815.DOCX", "https://docs.wto.org/imrd/directdoc.asp?DDFDocuments/v/G/TBTN24/JPN815.DOCX")</f>
      </c>
    </row>
    <row r="1636">
      <c r="A1636" s="6" t="s">
        <v>515</v>
      </c>
      <c r="B1636" s="7">
        <v>45467</v>
      </c>
      <c r="C1636" s="6">
        <f>HYPERLINK("https://eping.wto.org/en/Search?viewData= G/TBT/N/EU/1070"," G/TBT/N/EU/1070")</f>
      </c>
      <c r="D1636" s="8" t="s">
        <v>5085</v>
      </c>
      <c r="E1636" s="8" t="s">
        <v>5086</v>
      </c>
      <c r="F1636" s="8" t="s">
        <v>845</v>
      </c>
      <c r="G1636" s="6" t="s">
        <v>40</v>
      </c>
      <c r="H1636" s="6" t="s">
        <v>846</v>
      </c>
      <c r="I1636" s="6" t="s">
        <v>147</v>
      </c>
      <c r="J1636" s="6" t="s">
        <v>40</v>
      </c>
      <c r="K1636" s="6"/>
      <c r="L1636" s="7">
        <v>45527</v>
      </c>
      <c r="M1636" s="6" t="s">
        <v>25</v>
      </c>
      <c r="N1636" s="8" t="s">
        <v>5087</v>
      </c>
      <c r="O1636" s="6">
        <f>HYPERLINK("https://docs.wto.org/imrd/directdoc.asp?DDFDocuments/t/G/TBTN24/EU1070.DOCX", "https://docs.wto.org/imrd/directdoc.asp?DDFDocuments/t/G/TBTN24/EU1070.DOCX")</f>
      </c>
      <c r="P1636" s="6">
        <f>HYPERLINK("https://docs.wto.org/imrd/directdoc.asp?DDFDocuments/u/G/TBTN24/EU1070.DOCX", "https://docs.wto.org/imrd/directdoc.asp?DDFDocuments/u/G/TBTN24/EU1070.DOCX")</f>
      </c>
      <c r="Q1636" s="6">
        <f>HYPERLINK("https://docs.wto.org/imrd/directdoc.asp?DDFDocuments/v/G/TBTN24/EU1070.DOCX", "https://docs.wto.org/imrd/directdoc.asp?DDFDocuments/v/G/TBTN24/EU1070.DOCX")</f>
      </c>
    </row>
    <row r="1637">
      <c r="A1637" s="6" t="s">
        <v>1974</v>
      </c>
      <c r="B1637" s="7">
        <v>45467</v>
      </c>
      <c r="C1637" s="6">
        <f>HYPERLINK("https://eping.wto.org/en/Search?viewData= G/TBT/N/MNG/17"," G/TBT/N/MNG/17")</f>
      </c>
      <c r="D1637" s="8" t="s">
        <v>5088</v>
      </c>
      <c r="E1637" s="8" t="s">
        <v>5089</v>
      </c>
      <c r="F1637" s="8" t="s">
        <v>5090</v>
      </c>
      <c r="G1637" s="6" t="s">
        <v>40</v>
      </c>
      <c r="H1637" s="6" t="s">
        <v>5091</v>
      </c>
      <c r="I1637" s="6" t="s">
        <v>5092</v>
      </c>
      <c r="J1637" s="6" t="s">
        <v>5093</v>
      </c>
      <c r="K1637" s="6"/>
      <c r="L1637" s="7">
        <v>45527</v>
      </c>
      <c r="M1637" s="6" t="s">
        <v>25</v>
      </c>
      <c r="N1637" s="8" t="s">
        <v>5094</v>
      </c>
      <c r="O1637" s="6">
        <f>HYPERLINK("https://docs.wto.org/imrd/directdoc.asp?DDFDocuments/t/G/TBTN24/MNG17.DOCX", "https://docs.wto.org/imrd/directdoc.asp?DDFDocuments/t/G/TBTN24/MNG17.DOCX")</f>
      </c>
      <c r="P1637" s="6">
        <f>HYPERLINK("https://docs.wto.org/imrd/directdoc.asp?DDFDocuments/u/G/TBTN24/MNG17.DOCX", "https://docs.wto.org/imrd/directdoc.asp?DDFDocuments/u/G/TBTN24/MNG17.DOCX")</f>
      </c>
      <c r="Q1637" s="6">
        <f>HYPERLINK("https://docs.wto.org/imrd/directdoc.asp?DDFDocuments/v/G/TBTN24/MNG17.DOCX", "https://docs.wto.org/imrd/directdoc.asp?DDFDocuments/v/G/TBTN24/MNG17.DOCX")</f>
      </c>
    </row>
    <row r="1638">
      <c r="A1638" s="6" t="s">
        <v>180</v>
      </c>
      <c r="B1638" s="7">
        <v>45467</v>
      </c>
      <c r="C1638" s="6">
        <f>HYPERLINK("https://eping.wto.org/en/Search?viewData= G/SPS/N/CRI/265/Add.1"," G/SPS/N/CRI/265/Add.1")</f>
      </c>
      <c r="D1638" s="8" t="s">
        <v>5095</v>
      </c>
      <c r="E1638" s="8" t="s">
        <v>5096</v>
      </c>
      <c r="F1638" s="8" t="s">
        <v>5097</v>
      </c>
      <c r="G1638" s="6" t="s">
        <v>40</v>
      </c>
      <c r="H1638" s="6" t="s">
        <v>40</v>
      </c>
      <c r="I1638" s="6" t="s">
        <v>184</v>
      </c>
      <c r="J1638" s="6" t="s">
        <v>185</v>
      </c>
      <c r="K1638" s="6"/>
      <c r="L1638" s="7" t="s">
        <v>40</v>
      </c>
      <c r="M1638" s="6" t="s">
        <v>76</v>
      </c>
      <c r="N1638" s="8" t="s">
        <v>5098</v>
      </c>
      <c r="O1638" s="6">
        <f>HYPERLINK("https://docs.wto.org/imrd/directdoc.asp?DDFDocuments/t/G/SPS/NCRI265A1.DOCX", "https://docs.wto.org/imrd/directdoc.asp?DDFDocuments/t/G/SPS/NCRI265A1.DOCX")</f>
      </c>
      <c r="P1638" s="6">
        <f>HYPERLINK("https://docs.wto.org/imrd/directdoc.asp?DDFDocuments/u/G/SPS/NCRI265A1.DOCX", "https://docs.wto.org/imrd/directdoc.asp?DDFDocuments/u/G/SPS/NCRI265A1.DOCX")</f>
      </c>
      <c r="Q1638" s="6">
        <f>HYPERLINK("https://docs.wto.org/imrd/directdoc.asp?DDFDocuments/v/G/SPS/NCRI265A1.DOCX", "https://docs.wto.org/imrd/directdoc.asp?DDFDocuments/v/G/SPS/NCRI265A1.DOCX")</f>
      </c>
    </row>
    <row r="1639">
      <c r="A1639" s="6" t="s">
        <v>5099</v>
      </c>
      <c r="B1639" s="7">
        <v>45467</v>
      </c>
      <c r="C1639" s="6">
        <f>HYPERLINK("https://eping.wto.org/en/Search?viewData= G/TBT/N/FIN/89"," G/TBT/N/FIN/89")</f>
      </c>
      <c r="D1639" s="8" t="s">
        <v>5100</v>
      </c>
      <c r="E1639" s="8" t="s">
        <v>5101</v>
      </c>
      <c r="F1639" s="8" t="s">
        <v>5102</v>
      </c>
      <c r="G1639" s="6" t="s">
        <v>1315</v>
      </c>
      <c r="H1639" s="6" t="s">
        <v>1316</v>
      </c>
      <c r="I1639" s="6" t="s">
        <v>147</v>
      </c>
      <c r="J1639" s="6" t="s">
        <v>95</v>
      </c>
      <c r="K1639" s="6"/>
      <c r="L1639" s="7">
        <v>45527</v>
      </c>
      <c r="M1639" s="6" t="s">
        <v>25</v>
      </c>
      <c r="N1639" s="8" t="s">
        <v>5103</v>
      </c>
      <c r="O1639" s="6">
        <f>HYPERLINK("https://docs.wto.org/imrd/directdoc.asp?DDFDocuments/t/G/TBTN24/FIN89.DOCX", "https://docs.wto.org/imrd/directdoc.asp?DDFDocuments/t/G/TBTN24/FIN89.DOCX")</f>
      </c>
      <c r="P1639" s="6">
        <f>HYPERLINK("https://docs.wto.org/imrd/directdoc.asp?DDFDocuments/u/G/TBTN24/FIN89.DOCX", "https://docs.wto.org/imrd/directdoc.asp?DDFDocuments/u/G/TBTN24/FIN89.DOCX")</f>
      </c>
      <c r="Q1639" s="6">
        <f>HYPERLINK("https://docs.wto.org/imrd/directdoc.asp?DDFDocuments/v/G/TBTN24/FIN89.DOCX", "https://docs.wto.org/imrd/directdoc.asp?DDFDocuments/v/G/TBTN24/FIN89.DOCX")</f>
      </c>
    </row>
    <row r="1640">
      <c r="A1640" s="6" t="s">
        <v>115</v>
      </c>
      <c r="B1640" s="7">
        <v>45467</v>
      </c>
      <c r="C1640" s="6">
        <f>HYPERLINK("https://eping.wto.org/en/Search?viewData= G/SPS/N/BRA/2311"," G/SPS/N/BRA/2311")</f>
      </c>
      <c r="D1640" s="8" t="s">
        <v>5104</v>
      </c>
      <c r="E1640" s="8" t="s">
        <v>5105</v>
      </c>
      <c r="F1640" s="8" t="s">
        <v>951</v>
      </c>
      <c r="G1640" s="6" t="s">
        <v>40</v>
      </c>
      <c r="H1640" s="6" t="s">
        <v>1069</v>
      </c>
      <c r="I1640" s="6" t="s">
        <v>38</v>
      </c>
      <c r="J1640" s="6" t="s">
        <v>641</v>
      </c>
      <c r="K1640" s="6"/>
      <c r="L1640" s="7">
        <v>45530</v>
      </c>
      <c r="M1640" s="6" t="s">
        <v>25</v>
      </c>
      <c r="N1640" s="8" t="s">
        <v>5106</v>
      </c>
      <c r="O1640" s="6">
        <f>HYPERLINK("https://docs.wto.org/imrd/directdoc.asp?DDFDocuments/t/G/SPS/NBRA2311.DOCX", "https://docs.wto.org/imrd/directdoc.asp?DDFDocuments/t/G/SPS/NBRA2311.DOCX")</f>
      </c>
      <c r="P1640" s="6">
        <f>HYPERLINK("https://docs.wto.org/imrd/directdoc.asp?DDFDocuments/u/G/SPS/NBRA2311.DOCX", "https://docs.wto.org/imrd/directdoc.asp?DDFDocuments/u/G/SPS/NBRA2311.DOCX")</f>
      </c>
      <c r="Q1640" s="6">
        <f>HYPERLINK("https://docs.wto.org/imrd/directdoc.asp?DDFDocuments/v/G/SPS/NBRA2311.DOCX", "https://docs.wto.org/imrd/directdoc.asp?DDFDocuments/v/G/SPS/NBRA2311.DOCX")</f>
      </c>
    </row>
    <row r="1641">
      <c r="A1641" s="6" t="s">
        <v>5099</v>
      </c>
      <c r="B1641" s="7">
        <v>45467</v>
      </c>
      <c r="C1641" s="6">
        <f>HYPERLINK("https://eping.wto.org/en/Search?viewData= G/TBT/N/FIN/88"," G/TBT/N/FIN/88")</f>
      </c>
      <c r="D1641" s="8" t="s">
        <v>5107</v>
      </c>
      <c r="E1641" s="8" t="s">
        <v>5108</v>
      </c>
      <c r="F1641" s="8" t="s">
        <v>5102</v>
      </c>
      <c r="G1641" s="6" t="s">
        <v>1392</v>
      </c>
      <c r="H1641" s="6" t="s">
        <v>1316</v>
      </c>
      <c r="I1641" s="6" t="s">
        <v>147</v>
      </c>
      <c r="J1641" s="6" t="s">
        <v>95</v>
      </c>
      <c r="K1641" s="6"/>
      <c r="L1641" s="7">
        <v>45527</v>
      </c>
      <c r="M1641" s="6" t="s">
        <v>25</v>
      </c>
      <c r="N1641" s="8" t="s">
        <v>5109</v>
      </c>
      <c r="O1641" s="6">
        <f>HYPERLINK("https://docs.wto.org/imrd/directdoc.asp?DDFDocuments/t/G/TBTN24/FIN88.DOCX", "https://docs.wto.org/imrd/directdoc.asp?DDFDocuments/t/G/TBTN24/FIN88.DOCX")</f>
      </c>
      <c r="P1641" s="6">
        <f>HYPERLINK("https://docs.wto.org/imrd/directdoc.asp?DDFDocuments/u/G/TBTN24/FIN88.DOCX", "https://docs.wto.org/imrd/directdoc.asp?DDFDocuments/u/G/TBTN24/FIN88.DOCX")</f>
      </c>
      <c r="Q1641" s="6">
        <f>HYPERLINK("https://docs.wto.org/imrd/directdoc.asp?DDFDocuments/v/G/TBTN24/FIN88.DOCX", "https://docs.wto.org/imrd/directdoc.asp?DDFDocuments/v/G/TBTN24/FIN88.DOCX")</f>
      </c>
    </row>
    <row r="1642">
      <c r="A1642" s="6" t="s">
        <v>391</v>
      </c>
      <c r="B1642" s="7">
        <v>45467</v>
      </c>
      <c r="C1642" s="6">
        <f>HYPERLINK("https://eping.wto.org/en/Search?viewData= G/SPS/N/KWT/143"," G/SPS/N/KWT/143")</f>
      </c>
      <c r="D1642" s="8" t="s">
        <v>5110</v>
      </c>
      <c r="E1642" s="8" t="s">
        <v>5111</v>
      </c>
      <c r="F1642" s="8" t="s">
        <v>5112</v>
      </c>
      <c r="G1642" s="6" t="s">
        <v>834</v>
      </c>
      <c r="H1642" s="6" t="s">
        <v>826</v>
      </c>
      <c r="I1642" s="6" t="s">
        <v>827</v>
      </c>
      <c r="J1642" s="6" t="s">
        <v>5113</v>
      </c>
      <c r="K1642" s="6" t="s">
        <v>5114</v>
      </c>
      <c r="L1642" s="7" t="s">
        <v>40</v>
      </c>
      <c r="M1642" s="6" t="s">
        <v>356</v>
      </c>
      <c r="N1642" s="8" t="s">
        <v>5115</v>
      </c>
      <c r="O1642" s="6">
        <f>HYPERLINK("https://docs.wto.org/imrd/directdoc.asp?DDFDocuments/t/G/SPS/NKWT143.DOCX", "https://docs.wto.org/imrd/directdoc.asp?DDFDocuments/t/G/SPS/NKWT143.DOCX")</f>
      </c>
      <c r="P1642" s="6">
        <f>HYPERLINK("https://docs.wto.org/imrd/directdoc.asp?DDFDocuments/u/G/SPS/NKWT143.DOCX", "https://docs.wto.org/imrd/directdoc.asp?DDFDocuments/u/G/SPS/NKWT143.DOCX")</f>
      </c>
      <c r="Q1642" s="6">
        <f>HYPERLINK("https://docs.wto.org/imrd/directdoc.asp?DDFDocuments/v/G/SPS/NKWT143.DOCX", "https://docs.wto.org/imrd/directdoc.asp?DDFDocuments/v/G/SPS/NKWT143.DOCX")</f>
      </c>
    </row>
    <row r="1643">
      <c r="A1643" s="6" t="s">
        <v>391</v>
      </c>
      <c r="B1643" s="7">
        <v>45467</v>
      </c>
      <c r="C1643" s="6">
        <f>HYPERLINK("https://eping.wto.org/en/Search?viewData= G/SPS/N/KWT/144"," G/SPS/N/KWT/144")</f>
      </c>
      <c r="D1643" s="8" t="s">
        <v>5116</v>
      </c>
      <c r="E1643" s="8" t="s">
        <v>5117</v>
      </c>
      <c r="F1643" s="8" t="s">
        <v>5112</v>
      </c>
      <c r="G1643" s="6" t="s">
        <v>834</v>
      </c>
      <c r="H1643" s="6" t="s">
        <v>826</v>
      </c>
      <c r="I1643" s="6" t="s">
        <v>827</v>
      </c>
      <c r="J1643" s="6" t="s">
        <v>3749</v>
      </c>
      <c r="K1643" s="6" t="s">
        <v>5118</v>
      </c>
      <c r="L1643" s="7" t="s">
        <v>40</v>
      </c>
      <c r="M1643" s="6" t="s">
        <v>356</v>
      </c>
      <c r="N1643" s="8" t="s">
        <v>5119</v>
      </c>
      <c r="O1643" s="6">
        <f>HYPERLINK("https://docs.wto.org/imrd/directdoc.asp?DDFDocuments/t/G/SPS/NKWT144.DOCX", "https://docs.wto.org/imrd/directdoc.asp?DDFDocuments/t/G/SPS/NKWT144.DOCX")</f>
      </c>
      <c r="P1643" s="6">
        <f>HYPERLINK("https://docs.wto.org/imrd/directdoc.asp?DDFDocuments/u/G/SPS/NKWT144.DOCX", "https://docs.wto.org/imrd/directdoc.asp?DDFDocuments/u/G/SPS/NKWT144.DOCX")</f>
      </c>
      <c r="Q1643" s="6">
        <f>HYPERLINK("https://docs.wto.org/imrd/directdoc.asp?DDFDocuments/v/G/SPS/NKWT144.DOCX", "https://docs.wto.org/imrd/directdoc.asp?DDFDocuments/v/G/SPS/NKWT144.DOCX")</f>
      </c>
    </row>
    <row r="1644">
      <c r="A1644" s="6" t="s">
        <v>5017</v>
      </c>
      <c r="B1644" s="7">
        <v>45467</v>
      </c>
      <c r="C1644" s="6">
        <f>HYPERLINK("https://eping.wto.org/en/Search?viewData= G/TBT/N/MOZ/27"," G/TBT/N/MOZ/27")</f>
      </c>
      <c r="D1644" s="8" t="s">
        <v>5120</v>
      </c>
      <c r="E1644" s="8" t="s">
        <v>5121</v>
      </c>
      <c r="F1644" s="8" t="s">
        <v>5020</v>
      </c>
      <c r="G1644" s="6" t="s">
        <v>40</v>
      </c>
      <c r="H1644" s="6" t="s">
        <v>40</v>
      </c>
      <c r="I1644" s="6" t="s">
        <v>5021</v>
      </c>
      <c r="J1644" s="6" t="s">
        <v>40</v>
      </c>
      <c r="K1644" s="6"/>
      <c r="L1644" s="7" t="s">
        <v>40</v>
      </c>
      <c r="M1644" s="6" t="s">
        <v>25</v>
      </c>
      <c r="N1644" s="8" t="s">
        <v>5122</v>
      </c>
      <c r="O1644" s="6">
        <f>HYPERLINK("https://docs.wto.org/imrd/directdoc.asp?DDFDocuments/t/G/TBTN24/MOZ27.DOCX", "https://docs.wto.org/imrd/directdoc.asp?DDFDocuments/t/G/TBTN24/MOZ27.DOCX")</f>
      </c>
      <c r="P1644" s="6">
        <f>HYPERLINK("https://docs.wto.org/imrd/directdoc.asp?DDFDocuments/u/G/TBTN24/MOZ27.DOCX", "https://docs.wto.org/imrd/directdoc.asp?DDFDocuments/u/G/TBTN24/MOZ27.DOCX")</f>
      </c>
      <c r="Q1644" s="6">
        <f>HYPERLINK("https://docs.wto.org/imrd/directdoc.asp?DDFDocuments/v/G/TBTN24/MOZ27.DOCX", "https://docs.wto.org/imrd/directdoc.asp?DDFDocuments/v/G/TBTN24/MOZ27.DOCX")</f>
      </c>
    </row>
    <row r="1645">
      <c r="A1645" s="6" t="s">
        <v>307</v>
      </c>
      <c r="B1645" s="7">
        <v>45464</v>
      </c>
      <c r="C1645" s="6">
        <f>HYPERLINK("https://eping.wto.org/en/Search?viewData= G/SPS/N/CAN/1558"," G/SPS/N/CAN/1558")</f>
      </c>
      <c r="D1645" s="8" t="s">
        <v>5123</v>
      </c>
      <c r="E1645" s="8" t="s">
        <v>5124</v>
      </c>
      <c r="F1645" s="8" t="s">
        <v>5125</v>
      </c>
      <c r="G1645" s="6" t="s">
        <v>40</v>
      </c>
      <c r="H1645" s="6" t="s">
        <v>5126</v>
      </c>
      <c r="I1645" s="6" t="s">
        <v>38</v>
      </c>
      <c r="J1645" s="6" t="s">
        <v>103</v>
      </c>
      <c r="K1645" s="6" t="s">
        <v>40</v>
      </c>
      <c r="L1645" s="7">
        <v>45537</v>
      </c>
      <c r="M1645" s="6" t="s">
        <v>25</v>
      </c>
      <c r="N1645" s="6"/>
      <c r="O1645" s="6">
        <f>HYPERLINK("https://docs.wto.org/imrd/directdoc.asp?DDFDocuments/t/G/SPS/NCAN1558.DOCX", "https://docs.wto.org/imrd/directdoc.asp?DDFDocuments/t/G/SPS/NCAN1558.DOCX")</f>
      </c>
      <c r="P1645" s="6">
        <f>HYPERLINK("https://docs.wto.org/imrd/directdoc.asp?DDFDocuments/u/G/SPS/NCAN1558.DOCX", "https://docs.wto.org/imrd/directdoc.asp?DDFDocuments/u/G/SPS/NCAN1558.DOCX")</f>
      </c>
      <c r="Q1645" s="6">
        <f>HYPERLINK("https://docs.wto.org/imrd/directdoc.asp?DDFDocuments/v/G/SPS/NCAN1558.DOCX", "https://docs.wto.org/imrd/directdoc.asp?DDFDocuments/v/G/SPS/NCAN1558.DOCX")</f>
      </c>
    </row>
    <row r="1646">
      <c r="A1646" s="6" t="s">
        <v>115</v>
      </c>
      <c r="B1646" s="7">
        <v>45464</v>
      </c>
      <c r="C1646" s="6">
        <f>HYPERLINK("https://eping.wto.org/en/Search?viewData= G/TBT/N/BRA/343/Rev.3/Add.1/Corr.4"," G/TBT/N/BRA/343/Rev.3/Add.1/Corr.4")</f>
      </c>
      <c r="D1646" s="8" t="s">
        <v>5127</v>
      </c>
      <c r="E1646" s="8" t="s">
        <v>5128</v>
      </c>
      <c r="F1646" s="8" t="s">
        <v>5129</v>
      </c>
      <c r="G1646" s="6" t="s">
        <v>5130</v>
      </c>
      <c r="H1646" s="6" t="s">
        <v>5131</v>
      </c>
      <c r="I1646" s="6" t="s">
        <v>134</v>
      </c>
      <c r="J1646" s="6" t="s">
        <v>40</v>
      </c>
      <c r="K1646" s="6"/>
      <c r="L1646" s="7" t="s">
        <v>40</v>
      </c>
      <c r="M1646" s="6" t="s">
        <v>224</v>
      </c>
      <c r="N1646" s="6"/>
      <c r="O1646" s="6">
        <f>HYPERLINK("https://docs.wto.org/imrd/directdoc.asp?DDFDocuments/t/G/TBTN09/BRA343R3A1C4.DOCX", "https://docs.wto.org/imrd/directdoc.asp?DDFDocuments/t/G/TBTN09/BRA343R3A1C4.DOCX")</f>
      </c>
      <c r="P1646" s="6">
        <f>HYPERLINK("https://docs.wto.org/imrd/directdoc.asp?DDFDocuments/u/G/TBTN09/BRA343R3A1C4.DOCX", "https://docs.wto.org/imrd/directdoc.asp?DDFDocuments/u/G/TBTN09/BRA343R3A1C4.DOCX")</f>
      </c>
      <c r="Q1646" s="6">
        <f>HYPERLINK("https://docs.wto.org/imrd/directdoc.asp?DDFDocuments/v/G/TBTN09/BRA343R3A1C4.DOCX", "https://docs.wto.org/imrd/directdoc.asp?DDFDocuments/v/G/TBTN09/BRA343R3A1C4.DOCX")</f>
      </c>
    </row>
    <row r="1647">
      <c r="A1647" s="6" t="s">
        <v>124</v>
      </c>
      <c r="B1647" s="7">
        <v>45464</v>
      </c>
      <c r="C1647" s="6">
        <f>HYPERLINK("https://eping.wto.org/en/Search?viewData= G/TBT/N/ARG/403/Add.2"," G/TBT/N/ARG/403/Add.2")</f>
      </c>
      <c r="D1647" s="8" t="s">
        <v>5132</v>
      </c>
      <c r="E1647" s="8" t="s">
        <v>5133</v>
      </c>
      <c r="F1647" s="8" t="s">
        <v>5134</v>
      </c>
      <c r="G1647" s="6" t="s">
        <v>40</v>
      </c>
      <c r="H1647" s="6" t="s">
        <v>5135</v>
      </c>
      <c r="I1647" s="6" t="s">
        <v>280</v>
      </c>
      <c r="J1647" s="6" t="s">
        <v>40</v>
      </c>
      <c r="K1647" s="6"/>
      <c r="L1647" s="7" t="s">
        <v>40</v>
      </c>
      <c r="M1647" s="6" t="s">
        <v>76</v>
      </c>
      <c r="N1647" s="8" t="s">
        <v>5136</v>
      </c>
      <c r="O1647" s="6">
        <f>HYPERLINK("https://docs.wto.org/imrd/directdoc.asp?DDFDocuments/t/G/TBTN20/ARG403A2.DOCX", "https://docs.wto.org/imrd/directdoc.asp?DDFDocuments/t/G/TBTN20/ARG403A2.DOCX")</f>
      </c>
      <c r="P1647" s="6">
        <f>HYPERLINK("https://docs.wto.org/imrd/directdoc.asp?DDFDocuments/u/G/TBTN20/ARG403A2.DOCX", "https://docs.wto.org/imrd/directdoc.asp?DDFDocuments/u/G/TBTN20/ARG403A2.DOCX")</f>
      </c>
      <c r="Q1647" s="6">
        <f>HYPERLINK("https://docs.wto.org/imrd/directdoc.asp?DDFDocuments/v/G/TBTN20/ARG403A2.DOCX", "https://docs.wto.org/imrd/directdoc.asp?DDFDocuments/v/G/TBTN20/ARG403A2.DOCX")</f>
      </c>
    </row>
    <row r="1648">
      <c r="A1648" s="6" t="s">
        <v>115</v>
      </c>
      <c r="B1648" s="7">
        <v>45464</v>
      </c>
      <c r="C1648" s="6">
        <f>HYPERLINK("https://eping.wto.org/en/Search?viewData= G/TBT/N/BRA/461/Rev.1/Add.6"," G/TBT/N/BRA/461/Rev.1/Add.6")</f>
      </c>
      <c r="D1648" s="8" t="s">
        <v>5137</v>
      </c>
      <c r="E1648" s="8" t="s">
        <v>5138</v>
      </c>
      <c r="F1648" s="8" t="s">
        <v>5139</v>
      </c>
      <c r="G1648" s="6" t="s">
        <v>5140</v>
      </c>
      <c r="H1648" s="6" t="s">
        <v>5141</v>
      </c>
      <c r="I1648" s="6" t="s">
        <v>462</v>
      </c>
      <c r="J1648" s="6" t="s">
        <v>40</v>
      </c>
      <c r="K1648" s="6"/>
      <c r="L1648" s="7" t="s">
        <v>40</v>
      </c>
      <c r="M1648" s="6" t="s">
        <v>76</v>
      </c>
      <c r="N1648" s="8" t="s">
        <v>5142</v>
      </c>
      <c r="O1648" s="6">
        <f>HYPERLINK("https://docs.wto.org/imrd/directdoc.asp?DDFDocuments/t/G/TBTN12/BRA461R1A6.DOCX", "https://docs.wto.org/imrd/directdoc.asp?DDFDocuments/t/G/TBTN12/BRA461R1A6.DOCX")</f>
      </c>
      <c r="P1648" s="6">
        <f>HYPERLINK("https://docs.wto.org/imrd/directdoc.asp?DDFDocuments/u/G/TBTN12/BRA461R1A6.DOCX", "https://docs.wto.org/imrd/directdoc.asp?DDFDocuments/u/G/TBTN12/BRA461R1A6.DOCX")</f>
      </c>
      <c r="Q1648" s="6">
        <f>HYPERLINK("https://docs.wto.org/imrd/directdoc.asp?DDFDocuments/v/G/TBTN12/BRA461R1A6.DOCX", "https://docs.wto.org/imrd/directdoc.asp?DDFDocuments/v/G/TBTN12/BRA461R1A6.DOCX")</f>
      </c>
    </row>
    <row r="1649">
      <c r="A1649" s="6" t="s">
        <v>307</v>
      </c>
      <c r="B1649" s="7">
        <v>45464</v>
      </c>
      <c r="C1649" s="6">
        <f>HYPERLINK("https://eping.wto.org/en/Search?viewData= G/TBT/N/CAN/672/Add.1"," G/TBT/N/CAN/672/Add.1")</f>
      </c>
      <c r="D1649" s="8" t="s">
        <v>5143</v>
      </c>
      <c r="E1649" s="8" t="s">
        <v>5144</v>
      </c>
      <c r="F1649" s="8" t="s">
        <v>5145</v>
      </c>
      <c r="G1649" s="6" t="s">
        <v>40</v>
      </c>
      <c r="H1649" s="6" t="s">
        <v>467</v>
      </c>
      <c r="I1649" s="6" t="s">
        <v>142</v>
      </c>
      <c r="J1649" s="6" t="s">
        <v>40</v>
      </c>
      <c r="K1649" s="6"/>
      <c r="L1649" s="7" t="s">
        <v>40</v>
      </c>
      <c r="M1649" s="6" t="s">
        <v>76</v>
      </c>
      <c r="N1649" s="6"/>
      <c r="O1649" s="6">
        <f>HYPERLINK("https://docs.wto.org/imrd/directdoc.asp?DDFDocuments/t/G/TBTN22/CAN672A1.DOCX", "https://docs.wto.org/imrd/directdoc.asp?DDFDocuments/t/G/TBTN22/CAN672A1.DOCX")</f>
      </c>
      <c r="P1649" s="6">
        <f>HYPERLINK("https://docs.wto.org/imrd/directdoc.asp?DDFDocuments/u/G/TBTN22/CAN672A1.DOCX", "https://docs.wto.org/imrd/directdoc.asp?DDFDocuments/u/G/TBTN22/CAN672A1.DOCX")</f>
      </c>
      <c r="Q1649" s="6">
        <f>HYPERLINK("https://docs.wto.org/imrd/directdoc.asp?DDFDocuments/v/G/TBTN22/CAN672A1.DOCX", "https://docs.wto.org/imrd/directdoc.asp?DDFDocuments/v/G/TBTN22/CAN672A1.DOCX")</f>
      </c>
    </row>
    <row r="1650">
      <c r="A1650" s="6" t="s">
        <v>307</v>
      </c>
      <c r="B1650" s="7">
        <v>45464</v>
      </c>
      <c r="C1650" s="6">
        <f>HYPERLINK("https://eping.wto.org/en/Search?viewData= G/SPS/N/CAN/1559"," G/SPS/N/CAN/1559")</f>
      </c>
      <c r="D1650" s="8" t="s">
        <v>5146</v>
      </c>
      <c r="E1650" s="8" t="s">
        <v>5147</v>
      </c>
      <c r="F1650" s="8" t="s">
        <v>5148</v>
      </c>
      <c r="G1650" s="6" t="s">
        <v>40</v>
      </c>
      <c r="H1650" s="6" t="s">
        <v>311</v>
      </c>
      <c r="I1650" s="6" t="s">
        <v>38</v>
      </c>
      <c r="J1650" s="6" t="s">
        <v>641</v>
      </c>
      <c r="K1650" s="6" t="s">
        <v>40</v>
      </c>
      <c r="L1650" s="7">
        <v>45537</v>
      </c>
      <c r="M1650" s="6" t="s">
        <v>25</v>
      </c>
      <c r="N1650" s="6"/>
      <c r="O1650" s="6">
        <f>HYPERLINK("https://docs.wto.org/imrd/directdoc.asp?DDFDocuments/t/G/SPS/NCAN1559.DOCX", "https://docs.wto.org/imrd/directdoc.asp?DDFDocuments/t/G/SPS/NCAN1559.DOCX")</f>
      </c>
      <c r="P1650" s="6">
        <f>HYPERLINK("https://docs.wto.org/imrd/directdoc.asp?DDFDocuments/u/G/SPS/NCAN1559.DOCX", "https://docs.wto.org/imrd/directdoc.asp?DDFDocuments/u/G/SPS/NCAN1559.DOCX")</f>
      </c>
      <c r="Q1650" s="6">
        <f>HYPERLINK("https://docs.wto.org/imrd/directdoc.asp?DDFDocuments/v/G/SPS/NCAN1559.DOCX", "https://docs.wto.org/imrd/directdoc.asp?DDFDocuments/v/G/SPS/NCAN1559.DOCX")</f>
      </c>
    </row>
    <row r="1651">
      <c r="A1651" s="6" t="s">
        <v>442</v>
      </c>
      <c r="B1651" s="7">
        <v>45464</v>
      </c>
      <c r="C1651" s="6">
        <f>HYPERLINK("https://eping.wto.org/en/Search?viewData= G/TBT/N/MEX/531"," G/TBT/N/MEX/531")</f>
      </c>
      <c r="D1651" s="8" t="s">
        <v>5149</v>
      </c>
      <c r="E1651" s="8" t="s">
        <v>5150</v>
      </c>
      <c r="F1651" s="8" t="s">
        <v>5151</v>
      </c>
      <c r="G1651" s="6" t="s">
        <v>40</v>
      </c>
      <c r="H1651" s="6" t="s">
        <v>5152</v>
      </c>
      <c r="I1651" s="6" t="s">
        <v>191</v>
      </c>
      <c r="J1651" s="6" t="s">
        <v>40</v>
      </c>
      <c r="K1651" s="6"/>
      <c r="L1651" s="7">
        <v>45524</v>
      </c>
      <c r="M1651" s="6" t="s">
        <v>25</v>
      </c>
      <c r="N1651" s="8" t="s">
        <v>5153</v>
      </c>
      <c r="O1651" s="6">
        <f>HYPERLINK("https://docs.wto.org/imrd/directdoc.asp?DDFDocuments/t/G/TBTN24/MEX531.DOCX", "https://docs.wto.org/imrd/directdoc.asp?DDFDocuments/t/G/TBTN24/MEX531.DOCX")</f>
      </c>
      <c r="P1651" s="6">
        <f>HYPERLINK("https://docs.wto.org/imrd/directdoc.asp?DDFDocuments/u/G/TBTN24/MEX531.DOCX", "https://docs.wto.org/imrd/directdoc.asp?DDFDocuments/u/G/TBTN24/MEX531.DOCX")</f>
      </c>
      <c r="Q1651" s="6">
        <f>HYPERLINK("https://docs.wto.org/imrd/directdoc.asp?DDFDocuments/v/G/TBTN24/MEX531.DOCX", "https://docs.wto.org/imrd/directdoc.asp?DDFDocuments/v/G/TBTN24/MEX531.DOCX")</f>
      </c>
    </row>
    <row r="1652">
      <c r="A1652" s="6" t="s">
        <v>442</v>
      </c>
      <c r="B1652" s="7">
        <v>45464</v>
      </c>
      <c r="C1652" s="6">
        <f>HYPERLINK("https://eping.wto.org/en/Search?viewData= G/TBT/N/MEX/527/Add.1"," G/TBT/N/MEX/527/Add.1")</f>
      </c>
      <c r="D1652" s="8" t="s">
        <v>5154</v>
      </c>
      <c r="E1652" s="8" t="s">
        <v>5155</v>
      </c>
      <c r="F1652" s="8" t="s">
        <v>5156</v>
      </c>
      <c r="G1652" s="6" t="s">
        <v>40</v>
      </c>
      <c r="H1652" s="6" t="s">
        <v>5157</v>
      </c>
      <c r="I1652" s="6" t="s">
        <v>191</v>
      </c>
      <c r="J1652" s="6" t="s">
        <v>148</v>
      </c>
      <c r="K1652" s="6"/>
      <c r="L1652" s="7" t="s">
        <v>40</v>
      </c>
      <c r="M1652" s="6" t="s">
        <v>76</v>
      </c>
      <c r="N1652" s="8" t="s">
        <v>5158</v>
      </c>
      <c r="O1652" s="6">
        <f>HYPERLINK("https://docs.wto.org/imrd/directdoc.asp?DDFDocuments/t/G/TBTN23/MEX527A1.DOCX", "https://docs.wto.org/imrd/directdoc.asp?DDFDocuments/t/G/TBTN23/MEX527A1.DOCX")</f>
      </c>
      <c r="P1652" s="6">
        <f>HYPERLINK("https://docs.wto.org/imrd/directdoc.asp?DDFDocuments/u/G/TBTN23/MEX527A1.DOCX", "https://docs.wto.org/imrd/directdoc.asp?DDFDocuments/u/G/TBTN23/MEX527A1.DOCX")</f>
      </c>
      <c r="Q1652" s="6">
        <f>HYPERLINK("https://docs.wto.org/imrd/directdoc.asp?DDFDocuments/v/G/TBTN23/MEX527A1.DOCX", "https://docs.wto.org/imrd/directdoc.asp?DDFDocuments/v/G/TBTN23/MEX527A1.DOCX")</f>
      </c>
    </row>
    <row r="1653">
      <c r="A1653" s="6" t="s">
        <v>115</v>
      </c>
      <c r="B1653" s="7">
        <v>45464</v>
      </c>
      <c r="C1653" s="6">
        <f>HYPERLINK("https://eping.wto.org/en/Search?viewData= G/TBT/N/BRA/1549"," G/TBT/N/BRA/1549")</f>
      </c>
      <c r="D1653" s="8" t="s">
        <v>5159</v>
      </c>
      <c r="E1653" s="8" t="s">
        <v>5160</v>
      </c>
      <c r="F1653" s="8" t="s">
        <v>3679</v>
      </c>
      <c r="G1653" s="6" t="s">
        <v>5161</v>
      </c>
      <c r="H1653" s="6" t="s">
        <v>3680</v>
      </c>
      <c r="I1653" s="6" t="s">
        <v>147</v>
      </c>
      <c r="J1653" s="6" t="s">
        <v>95</v>
      </c>
      <c r="K1653" s="6"/>
      <c r="L1653" s="7">
        <v>45509</v>
      </c>
      <c r="M1653" s="6" t="s">
        <v>25</v>
      </c>
      <c r="N1653" s="8" t="s">
        <v>5162</v>
      </c>
      <c r="O1653" s="6">
        <f>HYPERLINK("https://docs.wto.org/imrd/directdoc.asp?DDFDocuments/t/G/TBTN24/BRA1549.DOCX", "https://docs.wto.org/imrd/directdoc.asp?DDFDocuments/t/G/TBTN24/BRA1549.DOCX")</f>
      </c>
      <c r="P1653" s="6">
        <f>HYPERLINK("https://docs.wto.org/imrd/directdoc.asp?DDFDocuments/u/G/TBTN24/BRA1549.DOCX", "https://docs.wto.org/imrd/directdoc.asp?DDFDocuments/u/G/TBTN24/BRA1549.DOCX")</f>
      </c>
      <c r="Q1653" s="6">
        <f>HYPERLINK("https://docs.wto.org/imrd/directdoc.asp?DDFDocuments/v/G/TBTN24/BRA1549.DOCX", "https://docs.wto.org/imrd/directdoc.asp?DDFDocuments/v/G/TBTN24/BRA1549.DOCX")</f>
      </c>
    </row>
    <row r="1654">
      <c r="A1654" s="6" t="s">
        <v>5163</v>
      </c>
      <c r="B1654" s="7">
        <v>45464</v>
      </c>
      <c r="C1654" s="6">
        <f>HYPERLINK("https://eping.wto.org/en/Search?viewData= G/SPS/N/PAN/89"," G/SPS/N/PAN/89")</f>
      </c>
      <c r="D1654" s="8" t="s">
        <v>5164</v>
      </c>
      <c r="E1654" s="8" t="s">
        <v>5165</v>
      </c>
      <c r="F1654" s="8" t="s">
        <v>5166</v>
      </c>
      <c r="G1654" s="6" t="s">
        <v>5167</v>
      </c>
      <c r="H1654" s="6" t="s">
        <v>40</v>
      </c>
      <c r="I1654" s="6" t="s">
        <v>819</v>
      </c>
      <c r="J1654" s="6" t="s">
        <v>5168</v>
      </c>
      <c r="K1654" s="6" t="s">
        <v>40</v>
      </c>
      <c r="L1654" s="7">
        <v>45524</v>
      </c>
      <c r="M1654" s="6" t="s">
        <v>25</v>
      </c>
      <c r="N1654" s="8" t="s">
        <v>5169</v>
      </c>
      <c r="O1654" s="6">
        <f>HYPERLINK("https://docs.wto.org/imrd/directdoc.asp?DDFDocuments/t/G/SPS/NPAN89.DOCX", "https://docs.wto.org/imrd/directdoc.asp?DDFDocuments/t/G/SPS/NPAN89.DOCX")</f>
      </c>
      <c r="P1654" s="6">
        <f>HYPERLINK("https://docs.wto.org/imrd/directdoc.asp?DDFDocuments/u/G/SPS/NPAN89.DOCX", "https://docs.wto.org/imrd/directdoc.asp?DDFDocuments/u/G/SPS/NPAN89.DOCX")</f>
      </c>
      <c r="Q1654" s="6">
        <f>HYPERLINK("https://docs.wto.org/imrd/directdoc.asp?DDFDocuments/v/G/SPS/NPAN89.DOCX", "https://docs.wto.org/imrd/directdoc.asp?DDFDocuments/v/G/SPS/NPAN89.DOCX")</f>
      </c>
    </row>
    <row r="1655">
      <c r="A1655" s="6" t="s">
        <v>307</v>
      </c>
      <c r="B1655" s="7">
        <v>45464</v>
      </c>
      <c r="C1655" s="6">
        <f>HYPERLINK("https://eping.wto.org/en/Search?viewData= G/TBT/N/CAN/687/Add.1"," G/TBT/N/CAN/687/Add.1")</f>
      </c>
      <c r="D1655" s="8" t="s">
        <v>5170</v>
      </c>
      <c r="E1655" s="8" t="s">
        <v>5171</v>
      </c>
      <c r="F1655" s="8" t="s">
        <v>5172</v>
      </c>
      <c r="G1655" s="6" t="s">
        <v>40</v>
      </c>
      <c r="H1655" s="6" t="s">
        <v>5173</v>
      </c>
      <c r="I1655" s="6" t="s">
        <v>142</v>
      </c>
      <c r="J1655" s="6" t="s">
        <v>40</v>
      </c>
      <c r="K1655" s="6"/>
      <c r="L1655" s="7" t="s">
        <v>40</v>
      </c>
      <c r="M1655" s="6" t="s">
        <v>76</v>
      </c>
      <c r="N1655" s="8" t="s">
        <v>5174</v>
      </c>
      <c r="O1655" s="6">
        <f>HYPERLINK("https://docs.wto.org/imrd/directdoc.asp?DDFDocuments/t/G/TBTN23/CAN687A1.DOCX", "https://docs.wto.org/imrd/directdoc.asp?DDFDocuments/t/G/TBTN23/CAN687A1.DOCX")</f>
      </c>
      <c r="P1655" s="6">
        <f>HYPERLINK("https://docs.wto.org/imrd/directdoc.asp?DDFDocuments/u/G/TBTN23/CAN687A1.DOCX", "https://docs.wto.org/imrd/directdoc.asp?DDFDocuments/u/G/TBTN23/CAN687A1.DOCX")</f>
      </c>
      <c r="Q1655" s="6">
        <f>HYPERLINK("https://docs.wto.org/imrd/directdoc.asp?DDFDocuments/v/G/TBTN23/CAN687A1.DOCX", "https://docs.wto.org/imrd/directdoc.asp?DDFDocuments/v/G/TBTN23/CAN687A1.DOCX")</f>
      </c>
    </row>
    <row r="1656">
      <c r="A1656" s="6" t="s">
        <v>115</v>
      </c>
      <c r="B1656" s="7">
        <v>45464</v>
      </c>
      <c r="C1656" s="6">
        <f>HYPERLINK("https://eping.wto.org/en/Search?viewData= G/TBT/N/BRA/1548"," G/TBT/N/BRA/1548")</f>
      </c>
      <c r="D1656" s="8" t="s">
        <v>5175</v>
      </c>
      <c r="E1656" s="8" t="s">
        <v>5176</v>
      </c>
      <c r="F1656" s="8" t="s">
        <v>5177</v>
      </c>
      <c r="G1656" s="6" t="s">
        <v>5178</v>
      </c>
      <c r="H1656" s="6" t="s">
        <v>93</v>
      </c>
      <c r="I1656" s="6" t="s">
        <v>147</v>
      </c>
      <c r="J1656" s="6" t="s">
        <v>95</v>
      </c>
      <c r="K1656" s="6"/>
      <c r="L1656" s="7">
        <v>45527</v>
      </c>
      <c r="M1656" s="6" t="s">
        <v>25</v>
      </c>
      <c r="N1656" s="8" t="s">
        <v>5179</v>
      </c>
      <c r="O1656" s="6">
        <f>HYPERLINK("https://docs.wto.org/imrd/directdoc.asp?DDFDocuments/t/G/TBTN24/BRA1548.DOCX", "https://docs.wto.org/imrd/directdoc.asp?DDFDocuments/t/G/TBTN24/BRA1548.DOCX")</f>
      </c>
      <c r="P1656" s="6">
        <f>HYPERLINK("https://docs.wto.org/imrd/directdoc.asp?DDFDocuments/u/G/TBTN24/BRA1548.DOCX", "https://docs.wto.org/imrd/directdoc.asp?DDFDocuments/u/G/TBTN24/BRA1548.DOCX")</f>
      </c>
      <c r="Q1656" s="6">
        <f>HYPERLINK("https://docs.wto.org/imrd/directdoc.asp?DDFDocuments/v/G/TBTN24/BRA1548.DOCX", "https://docs.wto.org/imrd/directdoc.asp?DDFDocuments/v/G/TBTN24/BRA1548.DOCX")</f>
      </c>
    </row>
    <row r="1657">
      <c r="A1657" s="6" t="s">
        <v>124</v>
      </c>
      <c r="B1657" s="7">
        <v>45464</v>
      </c>
      <c r="C1657" s="6">
        <f>HYPERLINK("https://eping.wto.org/en/Search?viewData= G/TBT/N/ARG/455"," G/TBT/N/ARG/455")</f>
      </c>
      <c r="D1657" s="8" t="s">
        <v>5180</v>
      </c>
      <c r="E1657" s="8" t="s">
        <v>5181</v>
      </c>
      <c r="F1657" s="8" t="s">
        <v>5182</v>
      </c>
      <c r="G1657" s="6" t="s">
        <v>40</v>
      </c>
      <c r="H1657" s="6" t="s">
        <v>5183</v>
      </c>
      <c r="I1657" s="6" t="s">
        <v>280</v>
      </c>
      <c r="J1657" s="6" t="s">
        <v>95</v>
      </c>
      <c r="K1657" s="6"/>
      <c r="L1657" s="7">
        <v>45524</v>
      </c>
      <c r="M1657" s="6" t="s">
        <v>25</v>
      </c>
      <c r="N1657" s="8" t="s">
        <v>5184</v>
      </c>
      <c r="O1657" s="6">
        <f>HYPERLINK("https://docs.wto.org/imrd/directdoc.asp?DDFDocuments/t/G/TBTN24/ARG455.DOCX", "https://docs.wto.org/imrd/directdoc.asp?DDFDocuments/t/G/TBTN24/ARG455.DOCX")</f>
      </c>
      <c r="P1657" s="6">
        <f>HYPERLINK("https://docs.wto.org/imrd/directdoc.asp?DDFDocuments/u/G/TBTN24/ARG455.DOCX", "https://docs.wto.org/imrd/directdoc.asp?DDFDocuments/u/G/TBTN24/ARG455.DOCX")</f>
      </c>
      <c r="Q1657" s="6">
        <f>HYPERLINK("https://docs.wto.org/imrd/directdoc.asp?DDFDocuments/v/G/TBTN24/ARG455.DOCX", "https://docs.wto.org/imrd/directdoc.asp?DDFDocuments/v/G/TBTN24/ARG455.DOCX")</f>
      </c>
    </row>
    <row r="1658">
      <c r="A1658" s="6" t="s">
        <v>419</v>
      </c>
      <c r="B1658" s="7">
        <v>45464</v>
      </c>
      <c r="C1658" s="6">
        <f>HYPERLINK("https://eping.wto.org/en/Search?viewData= G/TBT/N/JPN/813"," G/TBT/N/JPN/813")</f>
      </c>
      <c r="D1658" s="8" t="s">
        <v>5185</v>
      </c>
      <c r="E1658" s="8" t="s">
        <v>5186</v>
      </c>
      <c r="F1658" s="8" t="s">
        <v>5187</v>
      </c>
      <c r="G1658" s="6" t="s">
        <v>40</v>
      </c>
      <c r="H1658" s="6" t="s">
        <v>947</v>
      </c>
      <c r="I1658" s="6" t="s">
        <v>3689</v>
      </c>
      <c r="J1658" s="6" t="s">
        <v>40</v>
      </c>
      <c r="K1658" s="6"/>
      <c r="L1658" s="7">
        <v>45524</v>
      </c>
      <c r="M1658" s="6" t="s">
        <v>25</v>
      </c>
      <c r="N1658" s="8" t="s">
        <v>5188</v>
      </c>
      <c r="O1658" s="6">
        <f>HYPERLINK("https://docs.wto.org/imrd/directdoc.asp?DDFDocuments/t/G/TBTN24/JPN813.DOCX", "https://docs.wto.org/imrd/directdoc.asp?DDFDocuments/t/G/TBTN24/JPN813.DOCX")</f>
      </c>
      <c r="P1658" s="6">
        <f>HYPERLINK("https://docs.wto.org/imrd/directdoc.asp?DDFDocuments/u/G/TBTN24/JPN813.DOCX", "https://docs.wto.org/imrd/directdoc.asp?DDFDocuments/u/G/TBTN24/JPN813.DOCX")</f>
      </c>
      <c r="Q1658" s="6">
        <f>HYPERLINK("https://docs.wto.org/imrd/directdoc.asp?DDFDocuments/v/G/TBTN24/JPN813.DOCX", "https://docs.wto.org/imrd/directdoc.asp?DDFDocuments/v/G/TBTN24/JPN813.DOCX")</f>
      </c>
    </row>
    <row r="1659">
      <c r="A1659" s="6" t="s">
        <v>160</v>
      </c>
      <c r="B1659" s="7">
        <v>45464</v>
      </c>
      <c r="C1659" s="6">
        <f>HYPERLINK("https://eping.wto.org/en/Search?viewData= G/TBT/N/USA/1870/Add.1"," G/TBT/N/USA/1870/Add.1")</f>
      </c>
      <c r="D1659" s="8" t="s">
        <v>5189</v>
      </c>
      <c r="E1659" s="8" t="s">
        <v>5190</v>
      </c>
      <c r="F1659" s="8" t="s">
        <v>5191</v>
      </c>
      <c r="G1659" s="6" t="s">
        <v>40</v>
      </c>
      <c r="H1659" s="6" t="s">
        <v>5192</v>
      </c>
      <c r="I1659" s="6" t="s">
        <v>5193</v>
      </c>
      <c r="J1659" s="6" t="s">
        <v>154</v>
      </c>
      <c r="K1659" s="6"/>
      <c r="L1659" s="7" t="s">
        <v>40</v>
      </c>
      <c r="M1659" s="6" t="s">
        <v>76</v>
      </c>
      <c r="N1659" s="8" t="s">
        <v>5194</v>
      </c>
      <c r="O1659" s="6">
        <f>HYPERLINK("https://docs.wto.org/imrd/directdoc.asp?DDFDocuments/t/G/TBTN22/USA1870A1.DOCX", "https://docs.wto.org/imrd/directdoc.asp?DDFDocuments/t/G/TBTN22/USA1870A1.DOCX")</f>
      </c>
      <c r="P1659" s="6">
        <f>HYPERLINK("https://docs.wto.org/imrd/directdoc.asp?DDFDocuments/u/G/TBTN22/USA1870A1.DOCX", "https://docs.wto.org/imrd/directdoc.asp?DDFDocuments/u/G/TBTN22/USA1870A1.DOCX")</f>
      </c>
      <c r="Q1659" s="6">
        <f>HYPERLINK("https://docs.wto.org/imrd/directdoc.asp?DDFDocuments/v/G/TBTN22/USA1870A1.DOCX", "https://docs.wto.org/imrd/directdoc.asp?DDFDocuments/v/G/TBTN22/USA1870A1.DOCX")</f>
      </c>
    </row>
    <row r="1660">
      <c r="A1660" s="6" t="s">
        <v>419</v>
      </c>
      <c r="B1660" s="7">
        <v>45464</v>
      </c>
      <c r="C1660" s="6">
        <f>HYPERLINK("https://eping.wto.org/en/Search?viewData= G/TBT/N/JPN/814"," G/TBT/N/JPN/814")</f>
      </c>
      <c r="D1660" s="8" t="s">
        <v>5195</v>
      </c>
      <c r="E1660" s="8" t="s">
        <v>5196</v>
      </c>
      <c r="F1660" s="8" t="s">
        <v>5197</v>
      </c>
      <c r="G1660" s="6" t="s">
        <v>5198</v>
      </c>
      <c r="H1660" s="6" t="s">
        <v>40</v>
      </c>
      <c r="I1660" s="6" t="s">
        <v>142</v>
      </c>
      <c r="J1660" s="6" t="s">
        <v>40</v>
      </c>
      <c r="K1660" s="6"/>
      <c r="L1660" s="7">
        <v>45524</v>
      </c>
      <c r="M1660" s="6" t="s">
        <v>25</v>
      </c>
      <c r="N1660" s="8" t="s">
        <v>5199</v>
      </c>
      <c r="O1660" s="6">
        <f>HYPERLINK("https://docs.wto.org/imrd/directdoc.asp?DDFDocuments/t/G/TBTN24/JPN814.DOCX", "https://docs.wto.org/imrd/directdoc.asp?DDFDocuments/t/G/TBTN24/JPN814.DOCX")</f>
      </c>
      <c r="P1660" s="6">
        <f>HYPERLINK("https://docs.wto.org/imrd/directdoc.asp?DDFDocuments/u/G/TBTN24/JPN814.DOCX", "https://docs.wto.org/imrd/directdoc.asp?DDFDocuments/u/G/TBTN24/JPN814.DOCX")</f>
      </c>
      <c r="Q1660" s="6">
        <f>HYPERLINK("https://docs.wto.org/imrd/directdoc.asp?DDFDocuments/v/G/TBTN24/JPN814.DOCX", "https://docs.wto.org/imrd/directdoc.asp?DDFDocuments/v/G/TBTN24/JPN814.DOCX")</f>
      </c>
    </row>
    <row r="1661">
      <c r="A1661" s="6" t="s">
        <v>180</v>
      </c>
      <c r="B1661" s="7">
        <v>45464</v>
      </c>
      <c r="C1661" s="6">
        <f>HYPERLINK("https://eping.wto.org/en/Search?viewData= G/SPS/N/CRI/264/Add.1"," G/SPS/N/CRI/264/Add.1")</f>
      </c>
      <c r="D1661" s="8" t="s">
        <v>5200</v>
      </c>
      <c r="E1661" s="8" t="s">
        <v>5201</v>
      </c>
      <c r="F1661" s="8" t="s">
        <v>5202</v>
      </c>
      <c r="G1661" s="6" t="s">
        <v>5203</v>
      </c>
      <c r="H1661" s="6" t="s">
        <v>40</v>
      </c>
      <c r="I1661" s="6" t="s">
        <v>184</v>
      </c>
      <c r="J1661" s="6" t="s">
        <v>5204</v>
      </c>
      <c r="K1661" s="6"/>
      <c r="L1661" s="7" t="s">
        <v>40</v>
      </c>
      <c r="M1661" s="6" t="s">
        <v>76</v>
      </c>
      <c r="N1661" s="8" t="s">
        <v>5205</v>
      </c>
      <c r="O1661" s="6">
        <f>HYPERLINK("https://docs.wto.org/imrd/directdoc.asp?DDFDocuments/t/G/SPS/NCRI264A1.DOCX", "https://docs.wto.org/imrd/directdoc.asp?DDFDocuments/t/G/SPS/NCRI264A1.DOCX")</f>
      </c>
      <c r="P1661" s="6">
        <f>HYPERLINK("https://docs.wto.org/imrd/directdoc.asp?DDFDocuments/u/G/SPS/NCRI264A1.DOCX", "https://docs.wto.org/imrd/directdoc.asp?DDFDocuments/u/G/SPS/NCRI264A1.DOCX")</f>
      </c>
      <c r="Q1661" s="6">
        <f>HYPERLINK("https://docs.wto.org/imrd/directdoc.asp?DDFDocuments/v/G/SPS/NCRI264A1.DOCX", "https://docs.wto.org/imrd/directdoc.asp?DDFDocuments/v/G/SPS/NCRI264A1.DOCX")</f>
      </c>
    </row>
    <row r="1662">
      <c r="A1662" s="6" t="s">
        <v>115</v>
      </c>
      <c r="B1662" s="7">
        <v>45464</v>
      </c>
      <c r="C1662" s="6">
        <f>HYPERLINK("https://eping.wto.org/en/Search?viewData= G/TBT/N/BRA/647/Add.3"," G/TBT/N/BRA/647/Add.3")</f>
      </c>
      <c r="D1662" s="8" t="s">
        <v>5206</v>
      </c>
      <c r="E1662" s="8" t="s">
        <v>5207</v>
      </c>
      <c r="F1662" s="8" t="s">
        <v>4149</v>
      </c>
      <c r="G1662" s="6" t="s">
        <v>4150</v>
      </c>
      <c r="H1662" s="6" t="s">
        <v>3468</v>
      </c>
      <c r="I1662" s="6" t="s">
        <v>134</v>
      </c>
      <c r="J1662" s="6" t="s">
        <v>40</v>
      </c>
      <c r="K1662" s="6"/>
      <c r="L1662" s="7" t="s">
        <v>40</v>
      </c>
      <c r="M1662" s="6" t="s">
        <v>76</v>
      </c>
      <c r="N1662" s="8" t="s">
        <v>5208</v>
      </c>
      <c r="O1662" s="6">
        <f>HYPERLINK("https://docs.wto.org/imrd/directdoc.asp?DDFDocuments/t/G/TBTN15/BRA647A3.DOCX", "https://docs.wto.org/imrd/directdoc.asp?DDFDocuments/t/G/TBTN15/BRA647A3.DOCX")</f>
      </c>
      <c r="P1662" s="6">
        <f>HYPERLINK("https://docs.wto.org/imrd/directdoc.asp?DDFDocuments/u/G/TBTN15/BRA647A3.DOCX", "https://docs.wto.org/imrd/directdoc.asp?DDFDocuments/u/G/TBTN15/BRA647A3.DOCX")</f>
      </c>
      <c r="Q1662" s="6">
        <f>HYPERLINK("https://docs.wto.org/imrd/directdoc.asp?DDFDocuments/v/G/TBTN15/BRA647A3.DOCX", "https://docs.wto.org/imrd/directdoc.asp?DDFDocuments/v/G/TBTN15/BRA647A3.DOCX")</f>
      </c>
    </row>
    <row r="1663">
      <c r="A1663" s="6" t="s">
        <v>115</v>
      </c>
      <c r="B1663" s="7">
        <v>45464</v>
      </c>
      <c r="C1663" s="6">
        <f>HYPERLINK("https://eping.wto.org/en/Search?viewData= G/SPS/N/BRA/2278/Rev.1"," G/SPS/N/BRA/2278/Rev.1")</f>
      </c>
      <c r="D1663" s="8" t="s">
        <v>5209</v>
      </c>
      <c r="E1663" s="8" t="s">
        <v>5210</v>
      </c>
      <c r="F1663" s="8" t="s">
        <v>5211</v>
      </c>
      <c r="G1663" s="6" t="s">
        <v>5212</v>
      </c>
      <c r="H1663" s="6" t="s">
        <v>40</v>
      </c>
      <c r="I1663" s="6" t="s">
        <v>184</v>
      </c>
      <c r="J1663" s="6" t="s">
        <v>410</v>
      </c>
      <c r="K1663" s="6" t="s">
        <v>40</v>
      </c>
      <c r="L1663" s="7" t="s">
        <v>40</v>
      </c>
      <c r="M1663" s="6" t="s">
        <v>214</v>
      </c>
      <c r="N1663" s="8" t="s">
        <v>5213</v>
      </c>
      <c r="O1663" s="6">
        <f>HYPERLINK("https://docs.wto.org/imrd/directdoc.asp?DDFDocuments/t/G/SPS/NBRA2278R1.DOCX", "https://docs.wto.org/imrd/directdoc.asp?DDFDocuments/t/G/SPS/NBRA2278R1.DOCX")</f>
      </c>
      <c r="P1663" s="6">
        <f>HYPERLINK("https://docs.wto.org/imrd/directdoc.asp?DDFDocuments/u/G/SPS/NBRA2278R1.DOCX", "https://docs.wto.org/imrd/directdoc.asp?DDFDocuments/u/G/SPS/NBRA2278R1.DOCX")</f>
      </c>
      <c r="Q1663" s="6">
        <f>HYPERLINK("https://docs.wto.org/imrd/directdoc.asp?DDFDocuments/v/G/SPS/NBRA2278R1.DOCX", "https://docs.wto.org/imrd/directdoc.asp?DDFDocuments/v/G/SPS/NBRA2278R1.DOCX")</f>
      </c>
    </row>
    <row r="1664">
      <c r="A1664" s="6" t="s">
        <v>115</v>
      </c>
      <c r="B1664" s="7">
        <v>45464</v>
      </c>
      <c r="C1664" s="6">
        <f>HYPERLINK("https://eping.wto.org/en/Search?viewData= G/TBT/N/BRA/1077/Add.9"," G/TBT/N/BRA/1077/Add.9")</f>
      </c>
      <c r="D1664" s="8" t="s">
        <v>5214</v>
      </c>
      <c r="E1664" s="8" t="s">
        <v>5215</v>
      </c>
      <c r="F1664" s="8" t="s">
        <v>3886</v>
      </c>
      <c r="G1664" s="6" t="s">
        <v>40</v>
      </c>
      <c r="H1664" s="6" t="s">
        <v>40</v>
      </c>
      <c r="I1664" s="6" t="s">
        <v>142</v>
      </c>
      <c r="J1664" s="6" t="s">
        <v>40</v>
      </c>
      <c r="K1664" s="6"/>
      <c r="L1664" s="7" t="s">
        <v>40</v>
      </c>
      <c r="M1664" s="6" t="s">
        <v>76</v>
      </c>
      <c r="N1664" s="6"/>
      <c r="O1664" s="6">
        <f>HYPERLINK("https://docs.wto.org/imrd/directdoc.asp?DDFDocuments/t/G/TBTN20/BRA1077A9.DOCX", "https://docs.wto.org/imrd/directdoc.asp?DDFDocuments/t/G/TBTN20/BRA1077A9.DOCX")</f>
      </c>
      <c r="P1664" s="6"/>
      <c r="Q1664" s="6"/>
    </row>
    <row r="1665">
      <c r="A1665" s="6" t="s">
        <v>115</v>
      </c>
      <c r="B1665" s="7">
        <v>45464</v>
      </c>
      <c r="C1665" s="6">
        <f>HYPERLINK("https://eping.wto.org/en/Search?viewData= G/TBT/N/BRA/1550"," G/TBT/N/BRA/1550")</f>
      </c>
      <c r="D1665" s="8" t="s">
        <v>5216</v>
      </c>
      <c r="E1665" s="8" t="s">
        <v>5217</v>
      </c>
      <c r="F1665" s="8" t="s">
        <v>5218</v>
      </c>
      <c r="G1665" s="6" t="s">
        <v>5219</v>
      </c>
      <c r="H1665" s="6" t="s">
        <v>5220</v>
      </c>
      <c r="I1665" s="6" t="s">
        <v>379</v>
      </c>
      <c r="J1665" s="6" t="s">
        <v>40</v>
      </c>
      <c r="K1665" s="6"/>
      <c r="L1665" s="7">
        <v>45509</v>
      </c>
      <c r="M1665" s="6" t="s">
        <v>25</v>
      </c>
      <c r="N1665" s="8" t="s">
        <v>5221</v>
      </c>
      <c r="O1665" s="6">
        <f>HYPERLINK("https://docs.wto.org/imrd/directdoc.asp?DDFDocuments/t/G/TBTN24/BRA1550.DOCX", "https://docs.wto.org/imrd/directdoc.asp?DDFDocuments/t/G/TBTN24/BRA1550.DOCX")</f>
      </c>
      <c r="P1665" s="6">
        <f>HYPERLINK("https://docs.wto.org/imrd/directdoc.asp?DDFDocuments/u/G/TBTN24/BRA1550.DOCX", "https://docs.wto.org/imrd/directdoc.asp?DDFDocuments/u/G/TBTN24/BRA1550.DOCX")</f>
      </c>
      <c r="Q1665" s="6">
        <f>HYPERLINK("https://docs.wto.org/imrd/directdoc.asp?DDFDocuments/v/G/TBTN24/BRA1550.DOCX", "https://docs.wto.org/imrd/directdoc.asp?DDFDocuments/v/G/TBTN24/BRA1550.DOCX")</f>
      </c>
    </row>
    <row r="1666">
      <c r="A1666" s="6" t="s">
        <v>70</v>
      </c>
      <c r="B1666" s="7">
        <v>45464</v>
      </c>
      <c r="C1666" s="6">
        <f>HYPERLINK("https://eping.wto.org/en/Search?viewData= G/TBT/N/UKR/293/Add.1"," G/TBT/N/UKR/293/Add.1")</f>
      </c>
      <c r="D1666" s="8" t="s">
        <v>5222</v>
      </c>
      <c r="E1666" s="8" t="s">
        <v>5223</v>
      </c>
      <c r="F1666" s="8" t="s">
        <v>5224</v>
      </c>
      <c r="G1666" s="6" t="s">
        <v>3333</v>
      </c>
      <c r="H1666" s="6" t="s">
        <v>932</v>
      </c>
      <c r="I1666" s="6" t="s">
        <v>121</v>
      </c>
      <c r="J1666" s="6" t="s">
        <v>148</v>
      </c>
      <c r="K1666" s="6"/>
      <c r="L1666" s="7" t="s">
        <v>40</v>
      </c>
      <c r="M1666" s="6" t="s">
        <v>76</v>
      </c>
      <c r="N1666" s="8" t="s">
        <v>5225</v>
      </c>
      <c r="O1666" s="6">
        <f>HYPERLINK("https://docs.wto.org/imrd/directdoc.asp?DDFDocuments/t/G/TBTN24/UKR293A1.DOCX", "https://docs.wto.org/imrd/directdoc.asp?DDFDocuments/t/G/TBTN24/UKR293A1.DOCX")</f>
      </c>
      <c r="P1666" s="6">
        <f>HYPERLINK("https://docs.wto.org/imrd/directdoc.asp?DDFDocuments/u/G/TBTN24/UKR293A1.DOCX", "https://docs.wto.org/imrd/directdoc.asp?DDFDocuments/u/G/TBTN24/UKR293A1.DOCX")</f>
      </c>
      <c r="Q1666" s="6">
        <f>HYPERLINK("https://docs.wto.org/imrd/directdoc.asp?DDFDocuments/v/G/TBTN24/UKR293A1.DOCX", "https://docs.wto.org/imrd/directdoc.asp?DDFDocuments/v/G/TBTN24/UKR293A1.DOCX")</f>
      </c>
    </row>
    <row r="1667">
      <c r="A1667" s="6" t="s">
        <v>2041</v>
      </c>
      <c r="B1667" s="7">
        <v>45463</v>
      </c>
      <c r="C1667" s="6">
        <f>HYPERLINK("https://eping.wto.org/en/Search?viewData= G/TBT/N/RWA/1033"," G/TBT/N/RWA/1033")</f>
      </c>
      <c r="D1667" s="8" t="s">
        <v>5226</v>
      </c>
      <c r="E1667" s="8" t="s">
        <v>5227</v>
      </c>
      <c r="F1667" s="8" t="s">
        <v>5228</v>
      </c>
      <c r="G1667" s="6" t="s">
        <v>5229</v>
      </c>
      <c r="H1667" s="6" t="s">
        <v>5230</v>
      </c>
      <c r="I1667" s="6" t="s">
        <v>5231</v>
      </c>
      <c r="J1667" s="6" t="s">
        <v>24</v>
      </c>
      <c r="K1667" s="6"/>
      <c r="L1667" s="7">
        <v>45523</v>
      </c>
      <c r="M1667" s="6" t="s">
        <v>25</v>
      </c>
      <c r="N1667" s="8" t="s">
        <v>5232</v>
      </c>
      <c r="O1667" s="6">
        <f>HYPERLINK("https://docs.wto.org/imrd/directdoc.asp?DDFDocuments/t/G/TBTN24/RWA1033.DOCX", "https://docs.wto.org/imrd/directdoc.asp?DDFDocuments/t/G/TBTN24/RWA1033.DOCX")</f>
      </c>
      <c r="P1667" s="6">
        <f>HYPERLINK("https://docs.wto.org/imrd/directdoc.asp?DDFDocuments/u/G/TBTN24/RWA1033.DOCX", "https://docs.wto.org/imrd/directdoc.asp?DDFDocuments/u/G/TBTN24/RWA1033.DOCX")</f>
      </c>
      <c r="Q1667" s="6">
        <f>HYPERLINK("https://docs.wto.org/imrd/directdoc.asp?DDFDocuments/v/G/TBTN24/RWA1033.DOCX", "https://docs.wto.org/imrd/directdoc.asp?DDFDocuments/v/G/TBTN24/RWA1033.DOCX")</f>
      </c>
    </row>
    <row r="1668">
      <c r="A1668" s="6" t="s">
        <v>180</v>
      </c>
      <c r="B1668" s="7">
        <v>45463</v>
      </c>
      <c r="C1668" s="6">
        <f>HYPERLINK("https://eping.wto.org/en/Search?viewData= G/TBT/N/CRI/189/Add.14"," G/TBT/N/CRI/189/Add.14")</f>
      </c>
      <c r="D1668" s="8" t="s">
        <v>5233</v>
      </c>
      <c r="E1668" s="8" t="s">
        <v>5234</v>
      </c>
      <c r="F1668" s="8" t="s">
        <v>1157</v>
      </c>
      <c r="G1668" s="6" t="s">
        <v>1158</v>
      </c>
      <c r="H1668" s="6" t="s">
        <v>1159</v>
      </c>
      <c r="I1668" s="6" t="s">
        <v>337</v>
      </c>
      <c r="J1668" s="6" t="s">
        <v>40</v>
      </c>
      <c r="K1668" s="6"/>
      <c r="L1668" s="7" t="s">
        <v>40</v>
      </c>
      <c r="M1668" s="6" t="s">
        <v>76</v>
      </c>
      <c r="N1668" s="8" t="s">
        <v>5235</v>
      </c>
      <c r="O1668" s="6">
        <f>HYPERLINK("https://docs.wto.org/imrd/directdoc.asp?DDFDocuments/t/G/TBTN20/CRI189A14.DOCX", "https://docs.wto.org/imrd/directdoc.asp?DDFDocuments/t/G/TBTN20/CRI189A14.DOCX")</f>
      </c>
      <c r="P1668" s="6">
        <f>HYPERLINK("https://docs.wto.org/imrd/directdoc.asp?DDFDocuments/u/G/TBTN20/CRI189A14.DOCX", "https://docs.wto.org/imrd/directdoc.asp?DDFDocuments/u/G/TBTN20/CRI189A14.DOCX")</f>
      </c>
      <c r="Q1668" s="6">
        <f>HYPERLINK("https://docs.wto.org/imrd/directdoc.asp?DDFDocuments/v/G/TBTN20/CRI189A14.DOCX", "https://docs.wto.org/imrd/directdoc.asp?DDFDocuments/v/G/TBTN20/CRI189A14.DOCX")</f>
      </c>
    </row>
    <row r="1669">
      <c r="A1669" s="6" t="s">
        <v>89</v>
      </c>
      <c r="B1669" s="7">
        <v>45463</v>
      </c>
      <c r="C1669" s="6">
        <f>HYPERLINK("https://eping.wto.org/en/Search?viewData= G/TBT/N/ECU/541"," G/TBT/N/ECU/541")</f>
      </c>
      <c r="D1669" s="8" t="s">
        <v>5236</v>
      </c>
      <c r="E1669" s="8" t="s">
        <v>5237</v>
      </c>
      <c r="F1669" s="8" t="s">
        <v>5238</v>
      </c>
      <c r="G1669" s="6" t="s">
        <v>5239</v>
      </c>
      <c r="H1669" s="6" t="s">
        <v>1133</v>
      </c>
      <c r="I1669" s="6" t="s">
        <v>94</v>
      </c>
      <c r="J1669" s="6" t="s">
        <v>40</v>
      </c>
      <c r="K1669" s="6"/>
      <c r="L1669" s="7">
        <v>45523</v>
      </c>
      <c r="M1669" s="6" t="s">
        <v>25</v>
      </c>
      <c r="N1669" s="8" t="s">
        <v>5240</v>
      </c>
      <c r="O1669" s="6">
        <f>HYPERLINK("https://docs.wto.org/imrd/directdoc.asp?DDFDocuments/t/G/TBTN24/ECU541.DOCX", "https://docs.wto.org/imrd/directdoc.asp?DDFDocuments/t/G/TBTN24/ECU541.DOCX")</f>
      </c>
      <c r="P1669" s="6">
        <f>HYPERLINK("https://docs.wto.org/imrd/directdoc.asp?DDFDocuments/u/G/TBTN24/ECU541.DOCX", "https://docs.wto.org/imrd/directdoc.asp?DDFDocuments/u/G/TBTN24/ECU541.DOCX")</f>
      </c>
      <c r="Q1669" s="6">
        <f>HYPERLINK("https://docs.wto.org/imrd/directdoc.asp?DDFDocuments/v/G/TBTN24/ECU541.DOCX", "https://docs.wto.org/imrd/directdoc.asp?DDFDocuments/v/G/TBTN24/ECU541.DOCX")</f>
      </c>
    </row>
    <row r="1670">
      <c r="A1670" s="6" t="s">
        <v>180</v>
      </c>
      <c r="B1670" s="7">
        <v>45463</v>
      </c>
      <c r="C1670" s="6">
        <f>HYPERLINK("https://eping.wto.org/en/Search?viewData= G/TBT/N/CRI/189/Add.15"," G/TBT/N/CRI/189/Add.15")</f>
      </c>
      <c r="D1670" s="8" t="s">
        <v>5241</v>
      </c>
      <c r="E1670" s="8" t="s">
        <v>5242</v>
      </c>
      <c r="F1670" s="8" t="s">
        <v>1157</v>
      </c>
      <c r="G1670" s="6" t="s">
        <v>1158</v>
      </c>
      <c r="H1670" s="6" t="s">
        <v>1159</v>
      </c>
      <c r="I1670" s="6" t="s">
        <v>337</v>
      </c>
      <c r="J1670" s="6" t="s">
        <v>40</v>
      </c>
      <c r="K1670" s="6"/>
      <c r="L1670" s="7" t="s">
        <v>40</v>
      </c>
      <c r="M1670" s="6" t="s">
        <v>76</v>
      </c>
      <c r="N1670" s="8" t="s">
        <v>5243</v>
      </c>
      <c r="O1670" s="6">
        <f>HYPERLINK("https://docs.wto.org/imrd/directdoc.asp?DDFDocuments/t/G/TBTN20/CRI189A15.DOCX", "https://docs.wto.org/imrd/directdoc.asp?DDFDocuments/t/G/TBTN20/CRI189A15.DOCX")</f>
      </c>
      <c r="P1670" s="6">
        <f>HYPERLINK("https://docs.wto.org/imrd/directdoc.asp?DDFDocuments/u/G/TBTN20/CRI189A15.DOCX", "https://docs.wto.org/imrd/directdoc.asp?DDFDocuments/u/G/TBTN20/CRI189A15.DOCX")</f>
      </c>
      <c r="Q1670" s="6">
        <f>HYPERLINK("https://docs.wto.org/imrd/directdoc.asp?DDFDocuments/v/G/TBTN20/CRI189A15.DOCX", "https://docs.wto.org/imrd/directdoc.asp?DDFDocuments/v/G/TBTN20/CRI189A15.DOCX")</f>
      </c>
    </row>
    <row r="1671">
      <c r="A1671" s="6" t="s">
        <v>515</v>
      </c>
      <c r="B1671" s="7">
        <v>45463</v>
      </c>
      <c r="C1671" s="6">
        <f>HYPERLINK("https://eping.wto.org/en/Search?viewData= G/SPS/N/EU/773"," G/SPS/N/EU/773")</f>
      </c>
      <c r="D1671" s="8" t="s">
        <v>5244</v>
      </c>
      <c r="E1671" s="8" t="s">
        <v>5245</v>
      </c>
      <c r="F1671" s="8" t="s">
        <v>518</v>
      </c>
      <c r="G1671" s="6" t="s">
        <v>40</v>
      </c>
      <c r="H1671" s="6" t="s">
        <v>40</v>
      </c>
      <c r="I1671" s="6" t="s">
        <v>38</v>
      </c>
      <c r="J1671" s="6" t="s">
        <v>60</v>
      </c>
      <c r="K1671" s="6"/>
      <c r="L1671" s="7">
        <v>45523</v>
      </c>
      <c r="M1671" s="6" t="s">
        <v>25</v>
      </c>
      <c r="N1671" s="8" t="s">
        <v>5246</v>
      </c>
      <c r="O1671" s="6">
        <f>HYPERLINK("https://docs.wto.org/imrd/directdoc.asp?DDFDocuments/t/G/SPS/NEU773.DOCX", "https://docs.wto.org/imrd/directdoc.asp?DDFDocuments/t/G/SPS/NEU773.DOCX")</f>
      </c>
      <c r="P1671" s="6">
        <f>HYPERLINK("https://docs.wto.org/imrd/directdoc.asp?DDFDocuments/u/G/SPS/NEU773.DOCX", "https://docs.wto.org/imrd/directdoc.asp?DDFDocuments/u/G/SPS/NEU773.DOCX")</f>
      </c>
      <c r="Q1671" s="6">
        <f>HYPERLINK("https://docs.wto.org/imrd/directdoc.asp?DDFDocuments/v/G/SPS/NEU773.DOCX", "https://docs.wto.org/imrd/directdoc.asp?DDFDocuments/v/G/SPS/NEU773.DOCX")</f>
      </c>
    </row>
    <row r="1672">
      <c r="A1672" s="6" t="s">
        <v>89</v>
      </c>
      <c r="B1672" s="7">
        <v>45463</v>
      </c>
      <c r="C1672" s="6">
        <f>HYPERLINK("https://eping.wto.org/en/Search?viewData= G/TBT/N/ECU/540"," G/TBT/N/ECU/540")</f>
      </c>
      <c r="D1672" s="8" t="s">
        <v>5247</v>
      </c>
      <c r="E1672" s="8" t="s">
        <v>5248</v>
      </c>
      <c r="F1672" s="8" t="s">
        <v>5249</v>
      </c>
      <c r="G1672" s="6" t="s">
        <v>5250</v>
      </c>
      <c r="H1672" s="6" t="s">
        <v>5251</v>
      </c>
      <c r="I1672" s="6" t="s">
        <v>94</v>
      </c>
      <c r="J1672" s="6" t="s">
        <v>40</v>
      </c>
      <c r="K1672" s="6"/>
      <c r="L1672" s="7">
        <v>45523</v>
      </c>
      <c r="M1672" s="6" t="s">
        <v>25</v>
      </c>
      <c r="N1672" s="8" t="s">
        <v>5252</v>
      </c>
      <c r="O1672" s="6">
        <f>HYPERLINK("https://docs.wto.org/imrd/directdoc.asp?DDFDocuments/t/G/TBTN24/ECU540.DOCX", "https://docs.wto.org/imrd/directdoc.asp?DDFDocuments/t/G/TBTN24/ECU540.DOCX")</f>
      </c>
      <c r="P1672" s="6">
        <f>HYPERLINK("https://docs.wto.org/imrd/directdoc.asp?DDFDocuments/u/G/TBTN24/ECU540.DOCX", "https://docs.wto.org/imrd/directdoc.asp?DDFDocuments/u/G/TBTN24/ECU540.DOCX")</f>
      </c>
      <c r="Q1672" s="6">
        <f>HYPERLINK("https://docs.wto.org/imrd/directdoc.asp?DDFDocuments/v/G/TBTN24/ECU540.DOCX", "https://docs.wto.org/imrd/directdoc.asp?DDFDocuments/v/G/TBTN24/ECU540.DOCX")</f>
      </c>
    </row>
    <row r="1673">
      <c r="A1673" s="6" t="s">
        <v>180</v>
      </c>
      <c r="B1673" s="7">
        <v>45463</v>
      </c>
      <c r="C1673" s="6">
        <f>HYPERLINK("https://eping.wto.org/en/Search?viewData= G/TBT/N/CRI/189/Add.13"," G/TBT/N/CRI/189/Add.13")</f>
      </c>
      <c r="D1673" s="8" t="s">
        <v>5253</v>
      </c>
      <c r="E1673" s="8" t="s">
        <v>5254</v>
      </c>
      <c r="F1673" s="8" t="s">
        <v>1157</v>
      </c>
      <c r="G1673" s="6" t="s">
        <v>1158</v>
      </c>
      <c r="H1673" s="6" t="s">
        <v>1159</v>
      </c>
      <c r="I1673" s="6" t="s">
        <v>337</v>
      </c>
      <c r="J1673" s="6" t="s">
        <v>40</v>
      </c>
      <c r="K1673" s="6"/>
      <c r="L1673" s="7" t="s">
        <v>40</v>
      </c>
      <c r="M1673" s="6" t="s">
        <v>76</v>
      </c>
      <c r="N1673" s="8" t="s">
        <v>5255</v>
      </c>
      <c r="O1673" s="6">
        <f>HYPERLINK("https://docs.wto.org/imrd/directdoc.asp?DDFDocuments/t/G/TBTN20/CRI189A13.DOCX", "https://docs.wto.org/imrd/directdoc.asp?DDFDocuments/t/G/TBTN20/CRI189A13.DOCX")</f>
      </c>
      <c r="P1673" s="6">
        <f>HYPERLINK("https://docs.wto.org/imrd/directdoc.asp?DDFDocuments/u/G/TBTN20/CRI189A13.DOCX", "https://docs.wto.org/imrd/directdoc.asp?DDFDocuments/u/G/TBTN20/CRI189A13.DOCX")</f>
      </c>
      <c r="Q1673" s="6">
        <f>HYPERLINK("https://docs.wto.org/imrd/directdoc.asp?DDFDocuments/v/G/TBTN20/CRI189A13.DOCX", "https://docs.wto.org/imrd/directdoc.asp?DDFDocuments/v/G/TBTN20/CRI189A13.DOCX")</f>
      </c>
    </row>
    <row r="1674">
      <c r="A1674" s="6" t="s">
        <v>180</v>
      </c>
      <c r="B1674" s="7">
        <v>45463</v>
      </c>
      <c r="C1674" s="6">
        <f>HYPERLINK("https://eping.wto.org/en/Search?viewData= G/TBT/N/CRI/193/Add.1"," G/TBT/N/CRI/193/Add.1")</f>
      </c>
      <c r="D1674" s="8" t="s">
        <v>5256</v>
      </c>
      <c r="E1674" s="8" t="s">
        <v>5257</v>
      </c>
      <c r="F1674" s="8" t="s">
        <v>3871</v>
      </c>
      <c r="G1674" s="6" t="s">
        <v>40</v>
      </c>
      <c r="H1674" s="6" t="s">
        <v>3872</v>
      </c>
      <c r="I1674" s="6" t="s">
        <v>462</v>
      </c>
      <c r="J1674" s="6" t="s">
        <v>40</v>
      </c>
      <c r="K1674" s="6"/>
      <c r="L1674" s="7" t="s">
        <v>40</v>
      </c>
      <c r="M1674" s="6" t="s">
        <v>76</v>
      </c>
      <c r="N1674" s="8" t="s">
        <v>5258</v>
      </c>
      <c r="O1674" s="6">
        <f>HYPERLINK("https://docs.wto.org/imrd/directdoc.asp?DDFDocuments/t/G/TBTN21/CRI193A1.DOCX", "https://docs.wto.org/imrd/directdoc.asp?DDFDocuments/t/G/TBTN21/CRI193A1.DOCX")</f>
      </c>
      <c r="P1674" s="6">
        <f>HYPERLINK("https://docs.wto.org/imrd/directdoc.asp?DDFDocuments/u/G/TBTN21/CRI193A1.DOCX", "https://docs.wto.org/imrd/directdoc.asp?DDFDocuments/u/G/TBTN21/CRI193A1.DOCX")</f>
      </c>
      <c r="Q1674" s="6">
        <f>HYPERLINK("https://docs.wto.org/imrd/directdoc.asp?DDFDocuments/v/G/TBTN21/CRI193A1.DOCX", "https://docs.wto.org/imrd/directdoc.asp?DDFDocuments/v/G/TBTN21/CRI193A1.DOCX")</f>
      </c>
    </row>
    <row r="1675">
      <c r="A1675" s="6" t="s">
        <v>70</v>
      </c>
      <c r="B1675" s="7">
        <v>45463</v>
      </c>
      <c r="C1675" s="6">
        <f>HYPERLINK("https://eping.wto.org/en/Search?viewData= G/TBT/N/UKR/296/Add.1"," G/TBT/N/UKR/296/Add.1")</f>
      </c>
      <c r="D1675" s="8" t="s">
        <v>5259</v>
      </c>
      <c r="E1675" s="8" t="s">
        <v>5260</v>
      </c>
      <c r="F1675" s="8" t="s">
        <v>5261</v>
      </c>
      <c r="G1675" s="6" t="s">
        <v>5262</v>
      </c>
      <c r="H1675" s="6" t="s">
        <v>5263</v>
      </c>
      <c r="I1675" s="6" t="s">
        <v>245</v>
      </c>
      <c r="J1675" s="6" t="s">
        <v>40</v>
      </c>
      <c r="K1675" s="6"/>
      <c r="L1675" s="7" t="s">
        <v>40</v>
      </c>
      <c r="M1675" s="6" t="s">
        <v>76</v>
      </c>
      <c r="N1675" s="8" t="s">
        <v>5264</v>
      </c>
      <c r="O1675" s="6">
        <f>HYPERLINK("https://docs.wto.org/imrd/directdoc.asp?DDFDocuments/t/G/TBTN24/UKR296A1.DOCX", "https://docs.wto.org/imrd/directdoc.asp?DDFDocuments/t/G/TBTN24/UKR296A1.DOCX")</f>
      </c>
      <c r="P1675" s="6">
        <f>HYPERLINK("https://docs.wto.org/imrd/directdoc.asp?DDFDocuments/u/G/TBTN24/UKR296A1.DOCX", "https://docs.wto.org/imrd/directdoc.asp?DDFDocuments/u/G/TBTN24/UKR296A1.DOCX")</f>
      </c>
      <c r="Q1675" s="6">
        <f>HYPERLINK("https://docs.wto.org/imrd/directdoc.asp?DDFDocuments/v/G/TBTN24/UKR296A1.DOCX", "https://docs.wto.org/imrd/directdoc.asp?DDFDocuments/v/G/TBTN24/UKR296A1.DOCX")</f>
      </c>
    </row>
    <row r="1676">
      <c r="A1676" s="6" t="s">
        <v>115</v>
      </c>
      <c r="B1676" s="7">
        <v>45463</v>
      </c>
      <c r="C1676" s="6">
        <f>HYPERLINK("https://eping.wto.org/en/Search?viewData= G/TBT/N/BRA/312/Add.13/Corr.3"," G/TBT/N/BRA/312/Add.13/Corr.3")</f>
      </c>
      <c r="D1676" s="8" t="s">
        <v>5265</v>
      </c>
      <c r="E1676" s="8" t="s">
        <v>5266</v>
      </c>
      <c r="F1676" s="8" t="s">
        <v>5267</v>
      </c>
      <c r="G1676" s="6" t="s">
        <v>5268</v>
      </c>
      <c r="H1676" s="6" t="s">
        <v>5269</v>
      </c>
      <c r="I1676" s="6" t="s">
        <v>147</v>
      </c>
      <c r="J1676" s="6" t="s">
        <v>40</v>
      </c>
      <c r="K1676" s="6"/>
      <c r="L1676" s="7" t="s">
        <v>40</v>
      </c>
      <c r="M1676" s="6" t="s">
        <v>224</v>
      </c>
      <c r="N1676" s="6"/>
      <c r="O1676" s="6">
        <f>HYPERLINK("https://docs.wto.org/imrd/directdoc.asp?DDFDocuments/t/G/TBTN08/BRA312A13C3.DOCX", "https://docs.wto.org/imrd/directdoc.asp?DDFDocuments/t/G/TBTN08/BRA312A13C3.DOCX")</f>
      </c>
      <c r="P1676" s="6">
        <f>HYPERLINK("https://docs.wto.org/imrd/directdoc.asp?DDFDocuments/u/G/TBTN08/BRA312A13C3.DOCX", "https://docs.wto.org/imrd/directdoc.asp?DDFDocuments/u/G/TBTN08/BRA312A13C3.DOCX")</f>
      </c>
      <c r="Q1676" s="6">
        <f>HYPERLINK("https://docs.wto.org/imrd/directdoc.asp?DDFDocuments/v/G/TBTN08/BRA312A13C3.DOCX", "https://docs.wto.org/imrd/directdoc.asp?DDFDocuments/v/G/TBTN08/BRA312A13C3.DOCX")</f>
      </c>
    </row>
    <row r="1677">
      <c r="A1677" s="6" t="s">
        <v>1920</v>
      </c>
      <c r="B1677" s="7">
        <v>45463</v>
      </c>
      <c r="C1677" s="6">
        <f>HYPERLINK("https://eping.wto.org/en/Search?viewData= G/TBT/N/ZAF/255"," G/TBT/N/ZAF/255")</f>
      </c>
      <c r="D1677" s="8" t="s">
        <v>5270</v>
      </c>
      <c r="E1677" s="8" t="s">
        <v>5271</v>
      </c>
      <c r="F1677" s="8" t="s">
        <v>5272</v>
      </c>
      <c r="G1677" s="6" t="s">
        <v>5273</v>
      </c>
      <c r="H1677" s="6" t="s">
        <v>5274</v>
      </c>
      <c r="I1677" s="6" t="s">
        <v>81</v>
      </c>
      <c r="J1677" s="6" t="s">
        <v>24</v>
      </c>
      <c r="K1677" s="6"/>
      <c r="L1677" s="7">
        <v>45523</v>
      </c>
      <c r="M1677" s="6" t="s">
        <v>25</v>
      </c>
      <c r="N1677" s="8" t="s">
        <v>5275</v>
      </c>
      <c r="O1677" s="6">
        <f>HYPERLINK("https://docs.wto.org/imrd/directdoc.asp?DDFDocuments/t/G/TBTN24/ZAF255.DOCX", "https://docs.wto.org/imrd/directdoc.asp?DDFDocuments/t/G/TBTN24/ZAF255.DOCX")</f>
      </c>
      <c r="P1677" s="6">
        <f>HYPERLINK("https://docs.wto.org/imrd/directdoc.asp?DDFDocuments/u/G/TBTN24/ZAF255.DOCX", "https://docs.wto.org/imrd/directdoc.asp?DDFDocuments/u/G/TBTN24/ZAF255.DOCX")</f>
      </c>
      <c r="Q1677" s="6">
        <f>HYPERLINK("https://docs.wto.org/imrd/directdoc.asp?DDFDocuments/v/G/TBTN24/ZAF255.DOCX", "https://docs.wto.org/imrd/directdoc.asp?DDFDocuments/v/G/TBTN24/ZAF255.DOCX")</f>
      </c>
    </row>
    <row r="1678">
      <c r="A1678" s="6" t="s">
        <v>115</v>
      </c>
      <c r="B1678" s="7">
        <v>45463</v>
      </c>
      <c r="C1678" s="6">
        <f>HYPERLINK("https://eping.wto.org/en/Search?viewData= G/TBT/N/BRA/1547"," G/TBT/N/BRA/1547")</f>
      </c>
      <c r="D1678" s="8" t="s">
        <v>5276</v>
      </c>
      <c r="E1678" s="8" t="s">
        <v>5277</v>
      </c>
      <c r="F1678" s="8" t="s">
        <v>3679</v>
      </c>
      <c r="G1678" s="6" t="s">
        <v>40</v>
      </c>
      <c r="H1678" s="6" t="s">
        <v>3680</v>
      </c>
      <c r="I1678" s="6" t="s">
        <v>147</v>
      </c>
      <c r="J1678" s="6" t="s">
        <v>95</v>
      </c>
      <c r="K1678" s="6"/>
      <c r="L1678" s="7">
        <v>45509</v>
      </c>
      <c r="M1678" s="6" t="s">
        <v>25</v>
      </c>
      <c r="N1678" s="8" t="s">
        <v>5278</v>
      </c>
      <c r="O1678" s="6">
        <f>HYPERLINK("https://docs.wto.org/imrd/directdoc.asp?DDFDocuments/t/G/TBTN24/BRA1547.DOCX", "https://docs.wto.org/imrd/directdoc.asp?DDFDocuments/t/G/TBTN24/BRA1547.DOCX")</f>
      </c>
      <c r="P1678" s="6">
        <f>HYPERLINK("https://docs.wto.org/imrd/directdoc.asp?DDFDocuments/u/G/TBTN24/BRA1547.DOCX", "https://docs.wto.org/imrd/directdoc.asp?DDFDocuments/u/G/TBTN24/BRA1547.DOCX")</f>
      </c>
      <c r="Q1678" s="6">
        <f>HYPERLINK("https://docs.wto.org/imrd/directdoc.asp?DDFDocuments/v/G/TBTN24/BRA1547.DOCX", "https://docs.wto.org/imrd/directdoc.asp?DDFDocuments/v/G/TBTN24/BRA1547.DOCX")</f>
      </c>
    </row>
    <row r="1679">
      <c r="A1679" s="6" t="s">
        <v>358</v>
      </c>
      <c r="B1679" s="7">
        <v>45463</v>
      </c>
      <c r="C1679" s="6">
        <f>HYPERLINK("https://eping.wto.org/en/Search?viewData= G/SPS/N/NZL/761/Add.2"," G/SPS/N/NZL/761/Add.2")</f>
      </c>
      <c r="D1679" s="8" t="s">
        <v>5279</v>
      </c>
      <c r="E1679" s="8" t="s">
        <v>5280</v>
      </c>
      <c r="F1679" s="8" t="s">
        <v>5281</v>
      </c>
      <c r="G1679" s="6" t="s">
        <v>40</v>
      </c>
      <c r="H1679" s="6" t="s">
        <v>40</v>
      </c>
      <c r="I1679" s="6" t="s">
        <v>369</v>
      </c>
      <c r="J1679" s="6" t="s">
        <v>2618</v>
      </c>
      <c r="K1679" s="6"/>
      <c r="L1679" s="7" t="s">
        <v>40</v>
      </c>
      <c r="M1679" s="6" t="s">
        <v>76</v>
      </c>
      <c r="N1679" s="8" t="s">
        <v>5282</v>
      </c>
      <c r="O1679" s="6">
        <f>HYPERLINK("https://docs.wto.org/imrd/directdoc.asp?DDFDocuments/t/G/SPS/NNZL761A2.DOCX", "https://docs.wto.org/imrd/directdoc.asp?DDFDocuments/t/G/SPS/NNZL761A2.DOCX")</f>
      </c>
      <c r="P1679" s="6">
        <f>HYPERLINK("https://docs.wto.org/imrd/directdoc.asp?DDFDocuments/u/G/SPS/NNZL761A2.DOCX", "https://docs.wto.org/imrd/directdoc.asp?DDFDocuments/u/G/SPS/NNZL761A2.DOCX")</f>
      </c>
      <c r="Q1679" s="6">
        <f>HYPERLINK("https://docs.wto.org/imrd/directdoc.asp?DDFDocuments/v/G/SPS/NNZL761A2.DOCX", "https://docs.wto.org/imrd/directdoc.asp?DDFDocuments/v/G/SPS/NNZL761A2.DOCX")</f>
      </c>
    </row>
    <row r="1680">
      <c r="A1680" s="6" t="s">
        <v>1688</v>
      </c>
      <c r="B1680" s="7">
        <v>45463</v>
      </c>
      <c r="C1680" s="6">
        <f>HYPERLINK("https://eping.wto.org/en/Search?viewData= G/SPS/N/THA/742"," G/SPS/N/THA/742")</f>
      </c>
      <c r="D1680" s="8" t="s">
        <v>5283</v>
      </c>
      <c r="E1680" s="8" t="s">
        <v>5284</v>
      </c>
      <c r="F1680" s="8" t="s">
        <v>5285</v>
      </c>
      <c r="G1680" s="6" t="s">
        <v>40</v>
      </c>
      <c r="H1680" s="6" t="s">
        <v>40</v>
      </c>
      <c r="I1680" s="6" t="s">
        <v>353</v>
      </c>
      <c r="J1680" s="6" t="s">
        <v>1962</v>
      </c>
      <c r="K1680" s="6" t="s">
        <v>40</v>
      </c>
      <c r="L1680" s="7" t="s">
        <v>40</v>
      </c>
      <c r="M1680" s="6" t="s">
        <v>25</v>
      </c>
      <c r="N1680" s="8" t="s">
        <v>5286</v>
      </c>
      <c r="O1680" s="6">
        <f>HYPERLINK("https://docs.wto.org/imrd/directdoc.asp?DDFDocuments/t/G/SPS/NTHA742.DOCX", "https://docs.wto.org/imrd/directdoc.asp?DDFDocuments/t/G/SPS/NTHA742.DOCX")</f>
      </c>
      <c r="P1680" s="6">
        <f>HYPERLINK("https://docs.wto.org/imrd/directdoc.asp?DDFDocuments/u/G/SPS/NTHA742.DOCX", "https://docs.wto.org/imrd/directdoc.asp?DDFDocuments/u/G/SPS/NTHA742.DOCX")</f>
      </c>
      <c r="Q1680" s="6">
        <f>HYPERLINK("https://docs.wto.org/imrd/directdoc.asp?DDFDocuments/v/G/SPS/NTHA742.DOCX", "https://docs.wto.org/imrd/directdoc.asp?DDFDocuments/v/G/SPS/NTHA742.DOCX")</f>
      </c>
    </row>
    <row r="1681">
      <c r="A1681" s="6" t="s">
        <v>198</v>
      </c>
      <c r="B1681" s="7">
        <v>45463</v>
      </c>
      <c r="C1681" s="6">
        <f>HYPERLINK("https://eping.wto.org/en/Search?viewData= G/SPS/N/CHL/786/Add.1"," G/SPS/N/CHL/786/Add.1")</f>
      </c>
      <c r="D1681" s="8" t="s">
        <v>5287</v>
      </c>
      <c r="E1681" s="8" t="s">
        <v>5288</v>
      </c>
      <c r="F1681" s="8" t="s">
        <v>5289</v>
      </c>
      <c r="G1681" s="6" t="s">
        <v>5290</v>
      </c>
      <c r="H1681" s="6" t="s">
        <v>40</v>
      </c>
      <c r="I1681" s="6" t="s">
        <v>5291</v>
      </c>
      <c r="J1681" s="6" t="s">
        <v>5292</v>
      </c>
      <c r="K1681" s="6"/>
      <c r="L1681" s="7" t="s">
        <v>40</v>
      </c>
      <c r="M1681" s="6" t="s">
        <v>76</v>
      </c>
      <c r="N1681" s="8" t="s">
        <v>5293</v>
      </c>
      <c r="O1681" s="6">
        <f>HYPERLINK("https://docs.wto.org/imrd/directdoc.asp?DDFDocuments/t/G/SPS/NCHL786A1.DOCX", "https://docs.wto.org/imrd/directdoc.asp?DDFDocuments/t/G/SPS/NCHL786A1.DOCX")</f>
      </c>
      <c r="P1681" s="6">
        <f>HYPERLINK("https://docs.wto.org/imrd/directdoc.asp?DDFDocuments/u/G/SPS/NCHL786A1.DOCX", "https://docs.wto.org/imrd/directdoc.asp?DDFDocuments/u/G/SPS/NCHL786A1.DOCX")</f>
      </c>
      <c r="Q1681" s="6">
        <f>HYPERLINK("https://docs.wto.org/imrd/directdoc.asp?DDFDocuments/v/G/SPS/NCHL786A1.DOCX", "https://docs.wto.org/imrd/directdoc.asp?DDFDocuments/v/G/SPS/NCHL786A1.DOCX")</f>
      </c>
    </row>
    <row r="1682">
      <c r="A1682" s="6" t="s">
        <v>1920</v>
      </c>
      <c r="B1682" s="7">
        <v>45463</v>
      </c>
      <c r="C1682" s="6">
        <f>HYPERLINK("https://eping.wto.org/en/Search?viewData= G/TBT/N/ZAF/257"," G/TBT/N/ZAF/257")</f>
      </c>
      <c r="D1682" s="8" t="s">
        <v>5294</v>
      </c>
      <c r="E1682" s="8" t="s">
        <v>5295</v>
      </c>
      <c r="F1682" s="8" t="s">
        <v>5296</v>
      </c>
      <c r="G1682" s="6" t="s">
        <v>5297</v>
      </c>
      <c r="H1682" s="6" t="s">
        <v>5274</v>
      </c>
      <c r="I1682" s="6" t="s">
        <v>81</v>
      </c>
      <c r="J1682" s="6" t="s">
        <v>24</v>
      </c>
      <c r="K1682" s="6"/>
      <c r="L1682" s="7">
        <v>45523</v>
      </c>
      <c r="M1682" s="6" t="s">
        <v>25</v>
      </c>
      <c r="N1682" s="8" t="s">
        <v>5298</v>
      </c>
      <c r="O1682" s="6">
        <f>HYPERLINK("https://docs.wto.org/imrd/directdoc.asp?DDFDocuments/t/G/TBTN24/ZAF257.DOCX", "https://docs.wto.org/imrd/directdoc.asp?DDFDocuments/t/G/TBTN24/ZAF257.DOCX")</f>
      </c>
      <c r="P1682" s="6">
        <f>HYPERLINK("https://docs.wto.org/imrd/directdoc.asp?DDFDocuments/u/G/TBTN24/ZAF257.DOCX", "https://docs.wto.org/imrd/directdoc.asp?DDFDocuments/u/G/TBTN24/ZAF257.DOCX")</f>
      </c>
      <c r="Q1682" s="6">
        <f>HYPERLINK("https://docs.wto.org/imrd/directdoc.asp?DDFDocuments/v/G/TBTN24/ZAF257.DOCX", "https://docs.wto.org/imrd/directdoc.asp?DDFDocuments/v/G/TBTN24/ZAF257.DOCX")</f>
      </c>
    </row>
    <row r="1683">
      <c r="A1683" s="6" t="s">
        <v>70</v>
      </c>
      <c r="B1683" s="7">
        <v>45463</v>
      </c>
      <c r="C1683" s="6">
        <f>HYPERLINK("https://eping.wto.org/en/Search?viewData= G/TBT/N/UKR/294/Add.1"," G/TBT/N/UKR/294/Add.1")</f>
      </c>
      <c r="D1683" s="8" t="s">
        <v>5299</v>
      </c>
      <c r="E1683" s="8" t="s">
        <v>5300</v>
      </c>
      <c r="F1683" s="8" t="s">
        <v>5301</v>
      </c>
      <c r="G1683" s="6" t="s">
        <v>158</v>
      </c>
      <c r="H1683" s="6" t="s">
        <v>1055</v>
      </c>
      <c r="I1683" s="6" t="s">
        <v>4711</v>
      </c>
      <c r="J1683" s="6" t="s">
        <v>154</v>
      </c>
      <c r="K1683" s="6"/>
      <c r="L1683" s="7" t="s">
        <v>40</v>
      </c>
      <c r="M1683" s="6" t="s">
        <v>76</v>
      </c>
      <c r="N1683" s="8" t="s">
        <v>5302</v>
      </c>
      <c r="O1683" s="6">
        <f>HYPERLINK("https://docs.wto.org/imrd/directdoc.asp?DDFDocuments/t/G/TBTN24/UKR294A1.DOCX", "https://docs.wto.org/imrd/directdoc.asp?DDFDocuments/t/G/TBTN24/UKR294A1.DOCX")</f>
      </c>
      <c r="P1683" s="6">
        <f>HYPERLINK("https://docs.wto.org/imrd/directdoc.asp?DDFDocuments/u/G/TBTN24/UKR294A1.DOCX", "https://docs.wto.org/imrd/directdoc.asp?DDFDocuments/u/G/TBTN24/UKR294A1.DOCX")</f>
      </c>
      <c r="Q1683" s="6">
        <f>HYPERLINK("https://docs.wto.org/imrd/directdoc.asp?DDFDocuments/v/G/TBTN24/UKR294A1.DOCX", "https://docs.wto.org/imrd/directdoc.asp?DDFDocuments/v/G/TBTN24/UKR294A1.DOCX")</f>
      </c>
    </row>
    <row r="1684">
      <c r="A1684" s="6" t="s">
        <v>115</v>
      </c>
      <c r="B1684" s="7">
        <v>45463</v>
      </c>
      <c r="C1684" s="6">
        <f>HYPERLINK("https://eping.wto.org/en/Search?viewData= G/TBT/N/BRA/443/Add.4/Corr.1"," G/TBT/N/BRA/443/Add.4/Corr.1")</f>
      </c>
      <c r="D1684" s="8" t="s">
        <v>5303</v>
      </c>
      <c r="E1684" s="8" t="s">
        <v>5304</v>
      </c>
      <c r="F1684" s="8" t="s">
        <v>5305</v>
      </c>
      <c r="G1684" s="6" t="s">
        <v>5306</v>
      </c>
      <c r="H1684" s="6" t="s">
        <v>5307</v>
      </c>
      <c r="I1684" s="6" t="s">
        <v>147</v>
      </c>
      <c r="J1684" s="6" t="s">
        <v>4438</v>
      </c>
      <c r="K1684" s="6"/>
      <c r="L1684" s="7" t="s">
        <v>40</v>
      </c>
      <c r="M1684" s="6" t="s">
        <v>224</v>
      </c>
      <c r="N1684" s="6"/>
      <c r="O1684" s="6">
        <f>HYPERLINK("https://docs.wto.org/imrd/directdoc.asp?DDFDocuments/t/G/TBTN11/BRA443A4C1.DOCX", "https://docs.wto.org/imrd/directdoc.asp?DDFDocuments/t/G/TBTN11/BRA443A4C1.DOCX")</f>
      </c>
      <c r="P1684" s="6">
        <f>HYPERLINK("https://docs.wto.org/imrd/directdoc.asp?DDFDocuments/u/G/TBTN11/BRA443A4C1.DOCX", "https://docs.wto.org/imrd/directdoc.asp?DDFDocuments/u/G/TBTN11/BRA443A4C1.DOCX")</f>
      </c>
      <c r="Q1684" s="6">
        <f>HYPERLINK("https://docs.wto.org/imrd/directdoc.asp?DDFDocuments/v/G/TBTN11/BRA443A4C1.DOCX", "https://docs.wto.org/imrd/directdoc.asp?DDFDocuments/v/G/TBTN11/BRA443A4C1.DOCX")</f>
      </c>
    </row>
    <row r="1685">
      <c r="A1685" s="6" t="s">
        <v>348</v>
      </c>
      <c r="B1685" s="7">
        <v>45463</v>
      </c>
      <c r="C1685" s="6">
        <f>HYPERLINK("https://eping.wto.org/en/Search?viewData= G/SPS/N/RUS/283"," G/SPS/N/RUS/283")</f>
      </c>
      <c r="D1685" s="8" t="s">
        <v>5308</v>
      </c>
      <c r="E1685" s="8" t="s">
        <v>5309</v>
      </c>
      <c r="F1685" s="8" t="s">
        <v>1701</v>
      </c>
      <c r="G1685" s="6" t="s">
        <v>40</v>
      </c>
      <c r="H1685" s="6" t="s">
        <v>40</v>
      </c>
      <c r="I1685" s="6" t="s">
        <v>353</v>
      </c>
      <c r="J1685" s="6" t="s">
        <v>1095</v>
      </c>
      <c r="K1685" s="6" t="s">
        <v>40</v>
      </c>
      <c r="L1685" s="7">
        <v>45510</v>
      </c>
      <c r="M1685" s="6" t="s">
        <v>25</v>
      </c>
      <c r="N1685" s="8" t="s">
        <v>1836</v>
      </c>
      <c r="O1685" s="6">
        <f>HYPERLINK("https://docs.wto.org/imrd/directdoc.asp?DDFDocuments/t/G/SPS/NRUS283.DOCX", "https://docs.wto.org/imrd/directdoc.asp?DDFDocuments/t/G/SPS/NRUS283.DOCX")</f>
      </c>
      <c r="P1685" s="6">
        <f>HYPERLINK("https://docs.wto.org/imrd/directdoc.asp?DDFDocuments/u/G/SPS/NRUS283.DOCX", "https://docs.wto.org/imrd/directdoc.asp?DDFDocuments/u/G/SPS/NRUS283.DOCX")</f>
      </c>
      <c r="Q1685" s="6">
        <f>HYPERLINK("https://docs.wto.org/imrd/directdoc.asp?DDFDocuments/v/G/SPS/NRUS283.DOCX", "https://docs.wto.org/imrd/directdoc.asp?DDFDocuments/v/G/SPS/NRUS283.DOCX")</f>
      </c>
    </row>
    <row r="1686">
      <c r="A1686" s="6" t="s">
        <v>180</v>
      </c>
      <c r="B1686" s="7">
        <v>45463</v>
      </c>
      <c r="C1686" s="6">
        <f>HYPERLINK("https://eping.wto.org/en/Search?viewData= G/TBT/N/CRI/189/Add.16"," G/TBT/N/CRI/189/Add.16")</f>
      </c>
      <c r="D1686" s="8" t="s">
        <v>5310</v>
      </c>
      <c r="E1686" s="8" t="s">
        <v>5311</v>
      </c>
      <c r="F1686" s="8" t="s">
        <v>1157</v>
      </c>
      <c r="G1686" s="6" t="s">
        <v>1158</v>
      </c>
      <c r="H1686" s="6" t="s">
        <v>1159</v>
      </c>
      <c r="I1686" s="6" t="s">
        <v>337</v>
      </c>
      <c r="J1686" s="6" t="s">
        <v>40</v>
      </c>
      <c r="K1686" s="6"/>
      <c r="L1686" s="7" t="s">
        <v>40</v>
      </c>
      <c r="M1686" s="6" t="s">
        <v>76</v>
      </c>
      <c r="N1686" s="8" t="s">
        <v>5312</v>
      </c>
      <c r="O1686" s="6">
        <f>HYPERLINK("https://docs.wto.org/imrd/directdoc.asp?DDFDocuments/t/G/TBTN20/CRI189A16.DOCX", "https://docs.wto.org/imrd/directdoc.asp?DDFDocuments/t/G/TBTN20/CRI189A16.DOCX")</f>
      </c>
      <c r="P1686" s="6">
        <f>HYPERLINK("https://docs.wto.org/imrd/directdoc.asp?DDFDocuments/u/G/TBTN20/CRI189A16.DOCX", "https://docs.wto.org/imrd/directdoc.asp?DDFDocuments/u/G/TBTN20/CRI189A16.DOCX")</f>
      </c>
      <c r="Q1686" s="6">
        <f>HYPERLINK("https://docs.wto.org/imrd/directdoc.asp?DDFDocuments/v/G/TBTN20/CRI189A16.DOCX", "https://docs.wto.org/imrd/directdoc.asp?DDFDocuments/v/G/TBTN20/CRI189A16.DOCX")</f>
      </c>
    </row>
    <row r="1687">
      <c r="A1687" s="6" t="s">
        <v>1920</v>
      </c>
      <c r="B1687" s="7">
        <v>45463</v>
      </c>
      <c r="C1687" s="6">
        <f>HYPERLINK("https://eping.wto.org/en/Search?viewData= G/TBT/N/ZAF/258"," G/TBT/N/ZAF/258")</f>
      </c>
      <c r="D1687" s="8" t="s">
        <v>5313</v>
      </c>
      <c r="E1687" s="8" t="s">
        <v>5314</v>
      </c>
      <c r="F1687" s="8" t="s">
        <v>5315</v>
      </c>
      <c r="G1687" s="6" t="s">
        <v>5316</v>
      </c>
      <c r="H1687" s="6" t="s">
        <v>5274</v>
      </c>
      <c r="I1687" s="6" t="s">
        <v>81</v>
      </c>
      <c r="J1687" s="6" t="s">
        <v>24</v>
      </c>
      <c r="K1687" s="6"/>
      <c r="L1687" s="7">
        <v>45523</v>
      </c>
      <c r="M1687" s="6" t="s">
        <v>25</v>
      </c>
      <c r="N1687" s="8" t="s">
        <v>5317</v>
      </c>
      <c r="O1687" s="6">
        <f>HYPERLINK("https://docs.wto.org/imrd/directdoc.asp?DDFDocuments/t/G/TBTN24/ZAF258.DOCX", "https://docs.wto.org/imrd/directdoc.asp?DDFDocuments/t/G/TBTN24/ZAF258.DOCX")</f>
      </c>
      <c r="P1687" s="6">
        <f>HYPERLINK("https://docs.wto.org/imrd/directdoc.asp?DDFDocuments/u/G/TBTN24/ZAF258.DOCX", "https://docs.wto.org/imrd/directdoc.asp?DDFDocuments/u/G/TBTN24/ZAF258.DOCX")</f>
      </c>
      <c r="Q1687" s="6">
        <f>HYPERLINK("https://docs.wto.org/imrd/directdoc.asp?DDFDocuments/v/G/TBTN24/ZAF258.DOCX", "https://docs.wto.org/imrd/directdoc.asp?DDFDocuments/v/G/TBTN24/ZAF258.DOCX")</f>
      </c>
    </row>
    <row r="1688">
      <c r="A1688" s="6" t="s">
        <v>89</v>
      </c>
      <c r="B1688" s="7">
        <v>45463</v>
      </c>
      <c r="C1688" s="6">
        <f>HYPERLINK("https://eping.wto.org/en/Search?viewData= G/TBT/N/ECU/539"," G/TBT/N/ECU/539")</f>
      </c>
      <c r="D1688" s="8" t="s">
        <v>5318</v>
      </c>
      <c r="E1688" s="8" t="s">
        <v>5319</v>
      </c>
      <c r="F1688" s="8" t="s">
        <v>5320</v>
      </c>
      <c r="G1688" s="6" t="s">
        <v>5321</v>
      </c>
      <c r="H1688" s="6" t="s">
        <v>3349</v>
      </c>
      <c r="I1688" s="6" t="s">
        <v>94</v>
      </c>
      <c r="J1688" s="6" t="s">
        <v>40</v>
      </c>
      <c r="K1688" s="6"/>
      <c r="L1688" s="7">
        <v>45523</v>
      </c>
      <c r="M1688" s="6" t="s">
        <v>25</v>
      </c>
      <c r="N1688" s="8" t="s">
        <v>5322</v>
      </c>
      <c r="O1688" s="6">
        <f>HYPERLINK("https://docs.wto.org/imrd/directdoc.asp?DDFDocuments/t/G/TBTN24/ECU539.DOCX", "https://docs.wto.org/imrd/directdoc.asp?DDFDocuments/t/G/TBTN24/ECU539.DOCX")</f>
      </c>
      <c r="P1688" s="6">
        <f>HYPERLINK("https://docs.wto.org/imrd/directdoc.asp?DDFDocuments/u/G/TBTN24/ECU539.DOCX", "https://docs.wto.org/imrd/directdoc.asp?DDFDocuments/u/G/TBTN24/ECU539.DOCX")</f>
      </c>
      <c r="Q1688" s="6">
        <f>HYPERLINK("https://docs.wto.org/imrd/directdoc.asp?DDFDocuments/v/G/TBTN24/ECU539.DOCX", "https://docs.wto.org/imrd/directdoc.asp?DDFDocuments/v/G/TBTN24/ECU539.DOCX")</f>
      </c>
    </row>
    <row r="1689">
      <c r="A1689" s="6" t="s">
        <v>2041</v>
      </c>
      <c r="B1689" s="7">
        <v>45463</v>
      </c>
      <c r="C1689" s="6">
        <f>HYPERLINK("https://eping.wto.org/en/Search?viewData= G/TBT/N/RWA/1032"," G/TBT/N/RWA/1032")</f>
      </c>
      <c r="D1689" s="8" t="s">
        <v>5323</v>
      </c>
      <c r="E1689" s="8" t="s">
        <v>5324</v>
      </c>
      <c r="F1689" s="8" t="s">
        <v>5325</v>
      </c>
      <c r="G1689" s="6" t="s">
        <v>40</v>
      </c>
      <c r="H1689" s="6" t="s">
        <v>3158</v>
      </c>
      <c r="I1689" s="6" t="s">
        <v>5231</v>
      </c>
      <c r="J1689" s="6" t="s">
        <v>24</v>
      </c>
      <c r="K1689" s="6"/>
      <c r="L1689" s="7">
        <v>45523</v>
      </c>
      <c r="M1689" s="6" t="s">
        <v>25</v>
      </c>
      <c r="N1689" s="8" t="s">
        <v>5326</v>
      </c>
      <c r="O1689" s="6">
        <f>HYPERLINK("https://docs.wto.org/imrd/directdoc.asp?DDFDocuments/t/G/TBTN24/RWA1032.DOCX", "https://docs.wto.org/imrd/directdoc.asp?DDFDocuments/t/G/TBTN24/RWA1032.DOCX")</f>
      </c>
      <c r="P1689" s="6">
        <f>HYPERLINK("https://docs.wto.org/imrd/directdoc.asp?DDFDocuments/u/G/TBTN24/RWA1032.DOCX", "https://docs.wto.org/imrd/directdoc.asp?DDFDocuments/u/G/TBTN24/RWA1032.DOCX")</f>
      </c>
      <c r="Q1689" s="6">
        <f>HYPERLINK("https://docs.wto.org/imrd/directdoc.asp?DDFDocuments/v/G/TBTN24/RWA1032.DOCX", "https://docs.wto.org/imrd/directdoc.asp?DDFDocuments/v/G/TBTN24/RWA1032.DOCX")</f>
      </c>
    </row>
    <row r="1690">
      <c r="A1690" s="6" t="s">
        <v>1920</v>
      </c>
      <c r="B1690" s="7">
        <v>45463</v>
      </c>
      <c r="C1690" s="6">
        <f>HYPERLINK("https://eping.wto.org/en/Search?viewData= G/TBT/N/ZAF/256"," G/TBT/N/ZAF/256")</f>
      </c>
      <c r="D1690" s="8" t="s">
        <v>5327</v>
      </c>
      <c r="E1690" s="8" t="s">
        <v>5328</v>
      </c>
      <c r="F1690" s="8" t="s">
        <v>5329</v>
      </c>
      <c r="G1690" s="6" t="s">
        <v>5330</v>
      </c>
      <c r="H1690" s="6" t="s">
        <v>5274</v>
      </c>
      <c r="I1690" s="6" t="s">
        <v>81</v>
      </c>
      <c r="J1690" s="6" t="s">
        <v>24</v>
      </c>
      <c r="K1690" s="6"/>
      <c r="L1690" s="7">
        <v>45523</v>
      </c>
      <c r="M1690" s="6" t="s">
        <v>25</v>
      </c>
      <c r="N1690" s="8" t="s">
        <v>5331</v>
      </c>
      <c r="O1690" s="6">
        <f>HYPERLINK("https://docs.wto.org/imrd/directdoc.asp?DDFDocuments/t/G/TBTN24/ZAF256.DOCX", "https://docs.wto.org/imrd/directdoc.asp?DDFDocuments/t/G/TBTN24/ZAF256.DOCX")</f>
      </c>
      <c r="P1690" s="6">
        <f>HYPERLINK("https://docs.wto.org/imrd/directdoc.asp?DDFDocuments/u/G/TBTN24/ZAF256.DOCX", "https://docs.wto.org/imrd/directdoc.asp?DDFDocuments/u/G/TBTN24/ZAF256.DOCX")</f>
      </c>
      <c r="Q1690" s="6">
        <f>HYPERLINK("https://docs.wto.org/imrd/directdoc.asp?DDFDocuments/v/G/TBTN24/ZAF256.DOCX", "https://docs.wto.org/imrd/directdoc.asp?DDFDocuments/v/G/TBTN24/ZAF256.DOCX")</f>
      </c>
    </row>
    <row r="1691">
      <c r="A1691" s="6" t="s">
        <v>115</v>
      </c>
      <c r="B1691" s="7">
        <v>45463</v>
      </c>
      <c r="C1691" s="6">
        <f>HYPERLINK("https://eping.wto.org/en/Search?viewData= G/TBT/N/BRA/1288/Add.1"," G/TBT/N/BRA/1288/Add.1")</f>
      </c>
      <c r="D1691" s="8" t="s">
        <v>5332</v>
      </c>
      <c r="E1691" s="8" t="s">
        <v>5333</v>
      </c>
      <c r="F1691" s="8" t="s">
        <v>5334</v>
      </c>
      <c r="G1691" s="6" t="s">
        <v>891</v>
      </c>
      <c r="H1691" s="6" t="s">
        <v>3807</v>
      </c>
      <c r="I1691" s="6" t="s">
        <v>142</v>
      </c>
      <c r="J1691" s="6" t="s">
        <v>40</v>
      </c>
      <c r="K1691" s="6"/>
      <c r="L1691" s="7">
        <v>45509</v>
      </c>
      <c r="M1691" s="6" t="s">
        <v>76</v>
      </c>
      <c r="N1691" s="8" t="s">
        <v>5335</v>
      </c>
      <c r="O1691" s="6">
        <f>HYPERLINK("https://docs.wto.org/imrd/directdoc.asp?DDFDocuments/t/G/TBTN21/BRA1288A1.DOCX", "https://docs.wto.org/imrd/directdoc.asp?DDFDocuments/t/G/TBTN21/BRA1288A1.DOCX")</f>
      </c>
      <c r="P1691" s="6">
        <f>HYPERLINK("https://docs.wto.org/imrd/directdoc.asp?DDFDocuments/u/G/TBTN21/BRA1288A1.DOCX", "https://docs.wto.org/imrd/directdoc.asp?DDFDocuments/u/G/TBTN21/BRA1288A1.DOCX")</f>
      </c>
      <c r="Q1691" s="6">
        <f>HYPERLINK("https://docs.wto.org/imrd/directdoc.asp?DDFDocuments/v/G/TBTN21/BRA1288A1.DOCX", "https://docs.wto.org/imrd/directdoc.asp?DDFDocuments/v/G/TBTN21/BRA1288A1.DOCX")</f>
      </c>
    </row>
    <row r="1692">
      <c r="A1692" s="6" t="s">
        <v>1076</v>
      </c>
      <c r="B1692" s="7">
        <v>45462</v>
      </c>
      <c r="C1692" s="6">
        <f>HYPERLINK("https://eping.wto.org/en/Search?viewData= G/TBT/N/CHN/1864"," G/TBT/N/CHN/1864")</f>
      </c>
      <c r="D1692" s="8" t="s">
        <v>5336</v>
      </c>
      <c r="E1692" s="8" t="s">
        <v>5337</v>
      </c>
      <c r="F1692" s="8" t="s">
        <v>5338</v>
      </c>
      <c r="G1692" s="6" t="s">
        <v>2350</v>
      </c>
      <c r="H1692" s="6" t="s">
        <v>1050</v>
      </c>
      <c r="I1692" s="6" t="s">
        <v>147</v>
      </c>
      <c r="J1692" s="6" t="s">
        <v>40</v>
      </c>
      <c r="K1692" s="6"/>
      <c r="L1692" s="7" t="s">
        <v>40</v>
      </c>
      <c r="M1692" s="6" t="s">
        <v>25</v>
      </c>
      <c r="N1692" s="8" t="s">
        <v>5339</v>
      </c>
      <c r="O1692" s="6">
        <f>HYPERLINK("https://docs.wto.org/imrd/directdoc.asp?DDFDocuments/t/G/TBTN24/CHN1864.DOCX", "https://docs.wto.org/imrd/directdoc.asp?DDFDocuments/t/G/TBTN24/CHN1864.DOCX")</f>
      </c>
      <c r="P1692" s="6">
        <f>HYPERLINK("https://docs.wto.org/imrd/directdoc.asp?DDFDocuments/u/G/TBTN24/CHN1864.DOCX", "https://docs.wto.org/imrd/directdoc.asp?DDFDocuments/u/G/TBTN24/CHN1864.DOCX")</f>
      </c>
      <c r="Q1692" s="6">
        <f>HYPERLINK("https://docs.wto.org/imrd/directdoc.asp?DDFDocuments/v/G/TBTN24/CHN1864.DOCX", "https://docs.wto.org/imrd/directdoc.asp?DDFDocuments/v/G/TBTN24/CHN1864.DOCX")</f>
      </c>
    </row>
    <row r="1693">
      <c r="A1693" s="6" t="s">
        <v>1076</v>
      </c>
      <c r="B1693" s="7">
        <v>45462</v>
      </c>
      <c r="C1693" s="6">
        <f>HYPERLINK("https://eping.wto.org/en/Search?viewData= G/TBT/N/CHN/1869"," G/TBT/N/CHN/1869")</f>
      </c>
      <c r="D1693" s="8" t="s">
        <v>5340</v>
      </c>
      <c r="E1693" s="8" t="s">
        <v>5341</v>
      </c>
      <c r="F1693" s="8" t="s">
        <v>5342</v>
      </c>
      <c r="G1693" s="6" t="s">
        <v>2829</v>
      </c>
      <c r="H1693" s="6" t="s">
        <v>2877</v>
      </c>
      <c r="I1693" s="6" t="s">
        <v>147</v>
      </c>
      <c r="J1693" s="6" t="s">
        <v>40</v>
      </c>
      <c r="K1693" s="6"/>
      <c r="L1693" s="7">
        <v>45522</v>
      </c>
      <c r="M1693" s="6" t="s">
        <v>25</v>
      </c>
      <c r="N1693" s="8" t="s">
        <v>5343</v>
      </c>
      <c r="O1693" s="6">
        <f>HYPERLINK("https://docs.wto.org/imrd/directdoc.asp?DDFDocuments/t/G/TBTN24/CHN1869.DOCX", "https://docs.wto.org/imrd/directdoc.asp?DDFDocuments/t/G/TBTN24/CHN1869.DOCX")</f>
      </c>
      <c r="P1693" s="6">
        <f>HYPERLINK("https://docs.wto.org/imrd/directdoc.asp?DDFDocuments/u/G/TBTN24/CHN1869.DOCX", "https://docs.wto.org/imrd/directdoc.asp?DDFDocuments/u/G/TBTN24/CHN1869.DOCX")</f>
      </c>
      <c r="Q1693" s="6">
        <f>HYPERLINK("https://docs.wto.org/imrd/directdoc.asp?DDFDocuments/v/G/TBTN24/CHN1869.DOCX", "https://docs.wto.org/imrd/directdoc.asp?DDFDocuments/v/G/TBTN24/CHN1869.DOCX")</f>
      </c>
    </row>
    <row r="1694">
      <c r="A1694" s="6" t="s">
        <v>1076</v>
      </c>
      <c r="B1694" s="7">
        <v>45462</v>
      </c>
      <c r="C1694" s="6">
        <f>HYPERLINK("https://eping.wto.org/en/Search?viewData= G/TBT/N/CHN/1866"," G/TBT/N/CHN/1866")</f>
      </c>
      <c r="D1694" s="8" t="s">
        <v>5344</v>
      </c>
      <c r="E1694" s="8" t="s">
        <v>5345</v>
      </c>
      <c r="F1694" s="8" t="s">
        <v>5346</v>
      </c>
      <c r="G1694" s="6" t="s">
        <v>5347</v>
      </c>
      <c r="H1694" s="6" t="s">
        <v>5348</v>
      </c>
      <c r="I1694" s="6" t="s">
        <v>147</v>
      </c>
      <c r="J1694" s="6" t="s">
        <v>40</v>
      </c>
      <c r="K1694" s="6"/>
      <c r="L1694" s="7">
        <v>45522</v>
      </c>
      <c r="M1694" s="6" t="s">
        <v>25</v>
      </c>
      <c r="N1694" s="8" t="s">
        <v>5349</v>
      </c>
      <c r="O1694" s="6">
        <f>HYPERLINK("https://docs.wto.org/imrd/directdoc.asp?DDFDocuments/t/G/TBTN24/CHN1866.DOCX", "https://docs.wto.org/imrd/directdoc.asp?DDFDocuments/t/G/TBTN24/CHN1866.DOCX")</f>
      </c>
      <c r="P1694" s="6">
        <f>HYPERLINK("https://docs.wto.org/imrd/directdoc.asp?DDFDocuments/u/G/TBTN24/CHN1866.DOCX", "https://docs.wto.org/imrd/directdoc.asp?DDFDocuments/u/G/TBTN24/CHN1866.DOCX")</f>
      </c>
      <c r="Q1694" s="6">
        <f>HYPERLINK("https://docs.wto.org/imrd/directdoc.asp?DDFDocuments/v/G/TBTN24/CHN1866.DOCX", "https://docs.wto.org/imrd/directdoc.asp?DDFDocuments/v/G/TBTN24/CHN1866.DOCX")</f>
      </c>
    </row>
    <row r="1695">
      <c r="A1695" s="6" t="s">
        <v>307</v>
      </c>
      <c r="B1695" s="7">
        <v>45462</v>
      </c>
      <c r="C1695" s="6">
        <f>HYPERLINK("https://eping.wto.org/en/Search?viewData= G/TBT/N/CAN/725"," G/TBT/N/CAN/725")</f>
      </c>
      <c r="D1695" s="8" t="s">
        <v>5350</v>
      </c>
      <c r="E1695" s="8" t="s">
        <v>5351</v>
      </c>
      <c r="F1695" s="8" t="s">
        <v>1237</v>
      </c>
      <c r="G1695" s="6" t="s">
        <v>40</v>
      </c>
      <c r="H1695" s="6" t="s">
        <v>5352</v>
      </c>
      <c r="I1695" s="6" t="s">
        <v>142</v>
      </c>
      <c r="J1695" s="6" t="s">
        <v>95</v>
      </c>
      <c r="K1695" s="6"/>
      <c r="L1695" s="7">
        <v>45522</v>
      </c>
      <c r="M1695" s="6" t="s">
        <v>25</v>
      </c>
      <c r="N1695" s="8" t="s">
        <v>5353</v>
      </c>
      <c r="O1695" s="6">
        <f>HYPERLINK("https://docs.wto.org/imrd/directdoc.asp?DDFDocuments/t/G/TBTN24/CAN725.DOCX", "https://docs.wto.org/imrd/directdoc.asp?DDFDocuments/t/G/TBTN24/CAN725.DOCX")</f>
      </c>
      <c r="P1695" s="6">
        <f>HYPERLINK("https://docs.wto.org/imrd/directdoc.asp?DDFDocuments/u/G/TBTN24/CAN725.DOCX", "https://docs.wto.org/imrd/directdoc.asp?DDFDocuments/u/G/TBTN24/CAN725.DOCX")</f>
      </c>
      <c r="Q1695" s="6">
        <f>HYPERLINK("https://docs.wto.org/imrd/directdoc.asp?DDFDocuments/v/G/TBTN24/CAN725.DOCX", "https://docs.wto.org/imrd/directdoc.asp?DDFDocuments/v/G/TBTN24/CAN725.DOCX")</f>
      </c>
    </row>
    <row r="1696">
      <c r="A1696" s="6" t="s">
        <v>1076</v>
      </c>
      <c r="B1696" s="7">
        <v>45462</v>
      </c>
      <c r="C1696" s="6">
        <f>HYPERLINK("https://eping.wto.org/en/Search?viewData= G/TBT/N/CHN/1870"," G/TBT/N/CHN/1870")</f>
      </c>
      <c r="D1696" s="8" t="s">
        <v>5354</v>
      </c>
      <c r="E1696" s="8" t="s">
        <v>5355</v>
      </c>
      <c r="F1696" s="8" t="s">
        <v>5356</v>
      </c>
      <c r="G1696" s="6" t="s">
        <v>2829</v>
      </c>
      <c r="H1696" s="6" t="s">
        <v>2877</v>
      </c>
      <c r="I1696" s="6" t="s">
        <v>147</v>
      </c>
      <c r="J1696" s="6" t="s">
        <v>40</v>
      </c>
      <c r="K1696" s="6"/>
      <c r="L1696" s="7">
        <v>45522</v>
      </c>
      <c r="M1696" s="6" t="s">
        <v>25</v>
      </c>
      <c r="N1696" s="8" t="s">
        <v>5357</v>
      </c>
      <c r="O1696" s="6">
        <f>HYPERLINK("https://docs.wto.org/imrd/directdoc.asp?DDFDocuments/t/G/TBTN24/CHN1870.DOCX", "https://docs.wto.org/imrd/directdoc.asp?DDFDocuments/t/G/TBTN24/CHN1870.DOCX")</f>
      </c>
      <c r="P1696" s="6">
        <f>HYPERLINK("https://docs.wto.org/imrd/directdoc.asp?DDFDocuments/u/G/TBTN24/CHN1870.DOCX", "https://docs.wto.org/imrd/directdoc.asp?DDFDocuments/u/G/TBTN24/CHN1870.DOCX")</f>
      </c>
      <c r="Q1696" s="6">
        <f>HYPERLINK("https://docs.wto.org/imrd/directdoc.asp?DDFDocuments/v/G/TBTN24/CHN1870.DOCX", "https://docs.wto.org/imrd/directdoc.asp?DDFDocuments/v/G/TBTN24/CHN1870.DOCX")</f>
      </c>
    </row>
    <row r="1697">
      <c r="A1697" s="6" t="s">
        <v>1688</v>
      </c>
      <c r="B1697" s="7">
        <v>45462</v>
      </c>
      <c r="C1697" s="6">
        <f>HYPERLINK("https://eping.wto.org/en/Search?viewData= G/SPS/N/THA/740"," G/SPS/N/THA/740")</f>
      </c>
      <c r="D1697" s="8" t="s">
        <v>5358</v>
      </c>
      <c r="E1697" s="8" t="s">
        <v>5359</v>
      </c>
      <c r="F1697" s="8" t="s">
        <v>2764</v>
      </c>
      <c r="G1697" s="6" t="s">
        <v>834</v>
      </c>
      <c r="H1697" s="6" t="s">
        <v>40</v>
      </c>
      <c r="I1697" s="6" t="s">
        <v>353</v>
      </c>
      <c r="J1697" s="6" t="s">
        <v>3260</v>
      </c>
      <c r="K1697" s="6" t="s">
        <v>866</v>
      </c>
      <c r="L1697" s="7" t="s">
        <v>40</v>
      </c>
      <c r="M1697" s="6" t="s">
        <v>356</v>
      </c>
      <c r="N1697" s="8" t="s">
        <v>5360</v>
      </c>
      <c r="O1697" s="6">
        <f>HYPERLINK("https://docs.wto.org/imrd/directdoc.asp?DDFDocuments/t/G/SPS/NTHA740.DOCX", "https://docs.wto.org/imrd/directdoc.asp?DDFDocuments/t/G/SPS/NTHA740.DOCX")</f>
      </c>
      <c r="P1697" s="6">
        <f>HYPERLINK("https://docs.wto.org/imrd/directdoc.asp?DDFDocuments/u/G/SPS/NTHA740.DOCX", "https://docs.wto.org/imrd/directdoc.asp?DDFDocuments/u/G/SPS/NTHA740.DOCX")</f>
      </c>
      <c r="Q1697" s="6">
        <f>HYPERLINK("https://docs.wto.org/imrd/directdoc.asp?DDFDocuments/v/G/SPS/NTHA740.DOCX", "https://docs.wto.org/imrd/directdoc.asp?DDFDocuments/v/G/SPS/NTHA740.DOCX")</f>
      </c>
    </row>
    <row r="1698">
      <c r="A1698" s="6" t="s">
        <v>348</v>
      </c>
      <c r="B1698" s="7">
        <v>45462</v>
      </c>
      <c r="C1698" s="6">
        <f>HYPERLINK("https://eping.wto.org/en/Search?viewData= G/TBT/N/RUS/162"," G/TBT/N/RUS/162")</f>
      </c>
      <c r="D1698" s="8" t="s">
        <v>5361</v>
      </c>
      <c r="E1698" s="8" t="s">
        <v>5362</v>
      </c>
      <c r="F1698" s="8" t="s">
        <v>1701</v>
      </c>
      <c r="G1698" s="6" t="s">
        <v>1033</v>
      </c>
      <c r="H1698" s="6" t="s">
        <v>1456</v>
      </c>
      <c r="I1698" s="6" t="s">
        <v>1702</v>
      </c>
      <c r="J1698" s="6" t="s">
        <v>1095</v>
      </c>
      <c r="K1698" s="6"/>
      <c r="L1698" s="7">
        <v>45510</v>
      </c>
      <c r="M1698" s="6" t="s">
        <v>25</v>
      </c>
      <c r="N1698" s="6"/>
      <c r="O1698" s="6">
        <f>HYPERLINK("https://docs.wto.org/imrd/directdoc.asp?DDFDocuments/t/G/TBTN24/RUS162.DOCX", "https://docs.wto.org/imrd/directdoc.asp?DDFDocuments/t/G/TBTN24/RUS162.DOCX")</f>
      </c>
      <c r="P1698" s="6">
        <f>HYPERLINK("https://docs.wto.org/imrd/directdoc.asp?DDFDocuments/u/G/TBTN24/RUS162.DOCX", "https://docs.wto.org/imrd/directdoc.asp?DDFDocuments/u/G/TBTN24/RUS162.DOCX")</f>
      </c>
      <c r="Q1698" s="6">
        <f>HYPERLINK("https://docs.wto.org/imrd/directdoc.asp?DDFDocuments/v/G/TBTN24/RUS162.DOCX", "https://docs.wto.org/imrd/directdoc.asp?DDFDocuments/v/G/TBTN24/RUS162.DOCX")</f>
      </c>
    </row>
    <row r="1699">
      <c r="A1699" s="6" t="s">
        <v>1688</v>
      </c>
      <c r="B1699" s="7">
        <v>45462</v>
      </c>
      <c r="C1699" s="6">
        <f>HYPERLINK("https://eping.wto.org/en/Search?viewData= G/TBT/N/THA/739"," G/TBT/N/THA/739")</f>
      </c>
      <c r="D1699" s="8" t="s">
        <v>5363</v>
      </c>
      <c r="E1699" s="8" t="s">
        <v>5364</v>
      </c>
      <c r="F1699" s="8" t="s">
        <v>1691</v>
      </c>
      <c r="G1699" s="6" t="s">
        <v>5365</v>
      </c>
      <c r="H1699" s="6" t="s">
        <v>448</v>
      </c>
      <c r="I1699" s="6" t="s">
        <v>75</v>
      </c>
      <c r="J1699" s="6" t="s">
        <v>24</v>
      </c>
      <c r="K1699" s="6"/>
      <c r="L1699" s="7">
        <v>45522</v>
      </c>
      <c r="M1699" s="6" t="s">
        <v>25</v>
      </c>
      <c r="N1699" s="8" t="s">
        <v>5366</v>
      </c>
      <c r="O1699" s="6">
        <f>HYPERLINK("https://docs.wto.org/imrd/directdoc.asp?DDFDocuments/t/G/TBTN24/THA739.DOCX", "https://docs.wto.org/imrd/directdoc.asp?DDFDocuments/t/G/TBTN24/THA739.DOCX")</f>
      </c>
      <c r="P1699" s="6">
        <f>HYPERLINK("https://docs.wto.org/imrd/directdoc.asp?DDFDocuments/u/G/TBTN24/THA739.DOCX", "https://docs.wto.org/imrd/directdoc.asp?DDFDocuments/u/G/TBTN24/THA739.DOCX")</f>
      </c>
      <c r="Q1699" s="6">
        <f>HYPERLINK("https://docs.wto.org/imrd/directdoc.asp?DDFDocuments/v/G/TBTN24/THA739.DOCX", "https://docs.wto.org/imrd/directdoc.asp?DDFDocuments/v/G/TBTN24/THA739.DOCX")</f>
      </c>
    </row>
    <row r="1700">
      <c r="A1700" s="6" t="s">
        <v>1076</v>
      </c>
      <c r="B1700" s="7">
        <v>45462</v>
      </c>
      <c r="C1700" s="6">
        <f>HYPERLINK("https://eping.wto.org/en/Search?viewData= G/TBT/N/CHN/1873"," G/TBT/N/CHN/1873")</f>
      </c>
      <c r="D1700" s="8" t="s">
        <v>5367</v>
      </c>
      <c r="E1700" s="8" t="s">
        <v>5368</v>
      </c>
      <c r="F1700" s="8" t="s">
        <v>5369</v>
      </c>
      <c r="G1700" s="6" t="s">
        <v>5370</v>
      </c>
      <c r="H1700" s="6" t="s">
        <v>846</v>
      </c>
      <c r="I1700" s="6" t="s">
        <v>147</v>
      </c>
      <c r="J1700" s="6" t="s">
        <v>95</v>
      </c>
      <c r="K1700" s="6"/>
      <c r="L1700" s="7">
        <v>45522</v>
      </c>
      <c r="M1700" s="6" t="s">
        <v>25</v>
      </c>
      <c r="N1700" s="8" t="s">
        <v>5371</v>
      </c>
      <c r="O1700" s="6">
        <f>HYPERLINK("https://docs.wto.org/imrd/directdoc.asp?DDFDocuments/t/G/TBTN24/CHN1873.DOCX", "https://docs.wto.org/imrd/directdoc.asp?DDFDocuments/t/G/TBTN24/CHN1873.DOCX")</f>
      </c>
      <c r="P1700" s="6">
        <f>HYPERLINK("https://docs.wto.org/imrd/directdoc.asp?DDFDocuments/u/G/TBTN24/CHN1873.DOCX", "https://docs.wto.org/imrd/directdoc.asp?DDFDocuments/u/G/TBTN24/CHN1873.DOCX")</f>
      </c>
      <c r="Q1700" s="6">
        <f>HYPERLINK("https://docs.wto.org/imrd/directdoc.asp?DDFDocuments/v/G/TBTN24/CHN1873.DOCX", "https://docs.wto.org/imrd/directdoc.asp?DDFDocuments/v/G/TBTN24/CHN1873.DOCX")</f>
      </c>
    </row>
    <row r="1701">
      <c r="A1701" s="6" t="s">
        <v>160</v>
      </c>
      <c r="B1701" s="7">
        <v>45462</v>
      </c>
      <c r="C1701" s="6">
        <f>HYPERLINK("https://eping.wto.org/en/Search?viewData= G/TBT/N/USA/538/Rev.1/Add.1"," G/TBT/N/USA/538/Rev.1/Add.1")</f>
      </c>
      <c r="D1701" s="8" t="s">
        <v>5372</v>
      </c>
      <c r="E1701" s="8" t="s">
        <v>5373</v>
      </c>
      <c r="F1701" s="8" t="s">
        <v>5374</v>
      </c>
      <c r="G1701" s="6" t="s">
        <v>5375</v>
      </c>
      <c r="H1701" s="6" t="s">
        <v>5376</v>
      </c>
      <c r="I1701" s="6" t="s">
        <v>94</v>
      </c>
      <c r="J1701" s="6" t="s">
        <v>40</v>
      </c>
      <c r="K1701" s="6"/>
      <c r="L1701" s="7">
        <v>45505</v>
      </c>
      <c r="M1701" s="6" t="s">
        <v>76</v>
      </c>
      <c r="N1701" s="6"/>
      <c r="O1701" s="6">
        <f>HYPERLINK("https://docs.wto.org/imrd/directdoc.asp?DDFDocuments/t/G/TBTN10/USA538R1A1.DOCX", "https://docs.wto.org/imrd/directdoc.asp?DDFDocuments/t/G/TBTN10/USA538R1A1.DOCX")</f>
      </c>
      <c r="P1701" s="6">
        <f>HYPERLINK("https://docs.wto.org/imrd/directdoc.asp?DDFDocuments/u/G/TBTN10/USA538R1A1.DOCX", "https://docs.wto.org/imrd/directdoc.asp?DDFDocuments/u/G/TBTN10/USA538R1A1.DOCX")</f>
      </c>
      <c r="Q1701" s="6">
        <f>HYPERLINK("https://docs.wto.org/imrd/directdoc.asp?DDFDocuments/v/G/TBTN10/USA538R1A1.DOCX", "https://docs.wto.org/imrd/directdoc.asp?DDFDocuments/v/G/TBTN10/USA538R1A1.DOCX")</f>
      </c>
    </row>
    <row r="1702">
      <c r="A1702" s="6" t="s">
        <v>401</v>
      </c>
      <c r="B1702" s="7">
        <v>45462</v>
      </c>
      <c r="C1702" s="6">
        <f>HYPERLINK("https://eping.wto.org/en/Search?viewData= G/SPS/N/KOR/783/Add.2"," G/SPS/N/KOR/783/Add.2")</f>
      </c>
      <c r="D1702" s="8" t="s">
        <v>5377</v>
      </c>
      <c r="E1702" s="8" t="s">
        <v>5378</v>
      </c>
      <c r="F1702" s="8" t="s">
        <v>5379</v>
      </c>
      <c r="G1702" s="6" t="s">
        <v>1137</v>
      </c>
      <c r="H1702" s="6" t="s">
        <v>40</v>
      </c>
      <c r="I1702" s="6" t="s">
        <v>369</v>
      </c>
      <c r="J1702" s="6" t="s">
        <v>5380</v>
      </c>
      <c r="K1702" s="6"/>
      <c r="L1702" s="7">
        <v>45522</v>
      </c>
      <c r="M1702" s="6" t="s">
        <v>76</v>
      </c>
      <c r="N1702" s="8" t="s">
        <v>5381</v>
      </c>
      <c r="O1702" s="6">
        <f>HYPERLINK("https://docs.wto.org/imrd/directdoc.asp?DDFDocuments/t/G/SPS/NKOR783A2.DOCX", "https://docs.wto.org/imrd/directdoc.asp?DDFDocuments/t/G/SPS/NKOR783A2.DOCX")</f>
      </c>
      <c r="P1702" s="6">
        <f>HYPERLINK("https://docs.wto.org/imrd/directdoc.asp?DDFDocuments/u/G/SPS/NKOR783A2.DOCX", "https://docs.wto.org/imrd/directdoc.asp?DDFDocuments/u/G/SPS/NKOR783A2.DOCX")</f>
      </c>
      <c r="Q1702" s="6">
        <f>HYPERLINK("https://docs.wto.org/imrd/directdoc.asp?DDFDocuments/v/G/SPS/NKOR783A2.DOCX", "https://docs.wto.org/imrd/directdoc.asp?DDFDocuments/v/G/SPS/NKOR783A2.DOCX")</f>
      </c>
    </row>
    <row r="1703">
      <c r="A1703" s="6" t="s">
        <v>1076</v>
      </c>
      <c r="B1703" s="7">
        <v>45462</v>
      </c>
      <c r="C1703" s="6">
        <f>HYPERLINK("https://eping.wto.org/en/Search?viewData= G/TBT/N/CHN/1868"," G/TBT/N/CHN/1868")</f>
      </c>
      <c r="D1703" s="8" t="s">
        <v>5382</v>
      </c>
      <c r="E1703" s="8" t="s">
        <v>5383</v>
      </c>
      <c r="F1703" s="8" t="s">
        <v>5384</v>
      </c>
      <c r="G1703" s="6" t="s">
        <v>5385</v>
      </c>
      <c r="H1703" s="6" t="s">
        <v>1050</v>
      </c>
      <c r="I1703" s="6" t="s">
        <v>147</v>
      </c>
      <c r="J1703" s="6" t="s">
        <v>40</v>
      </c>
      <c r="K1703" s="6"/>
      <c r="L1703" s="7" t="s">
        <v>40</v>
      </c>
      <c r="M1703" s="6" t="s">
        <v>25</v>
      </c>
      <c r="N1703" s="8" t="s">
        <v>5386</v>
      </c>
      <c r="O1703" s="6">
        <f>HYPERLINK("https://docs.wto.org/imrd/directdoc.asp?DDFDocuments/t/G/TBTN24/CHN1868.DOCX", "https://docs.wto.org/imrd/directdoc.asp?DDFDocuments/t/G/TBTN24/CHN1868.DOCX")</f>
      </c>
      <c r="P1703" s="6">
        <f>HYPERLINK("https://docs.wto.org/imrd/directdoc.asp?DDFDocuments/u/G/TBTN24/CHN1868.DOCX", "https://docs.wto.org/imrd/directdoc.asp?DDFDocuments/u/G/TBTN24/CHN1868.DOCX")</f>
      </c>
      <c r="Q1703" s="6">
        <f>HYPERLINK("https://docs.wto.org/imrd/directdoc.asp?DDFDocuments/v/G/TBTN24/CHN1868.DOCX", "https://docs.wto.org/imrd/directdoc.asp?DDFDocuments/v/G/TBTN24/CHN1868.DOCX")</f>
      </c>
    </row>
    <row r="1704">
      <c r="A1704" s="6" t="s">
        <v>1688</v>
      </c>
      <c r="B1704" s="7">
        <v>45462</v>
      </c>
      <c r="C1704" s="6">
        <f>HYPERLINK("https://eping.wto.org/en/Search?viewData= G/SPS/N/THA/741"," G/SPS/N/THA/741")</f>
      </c>
      <c r="D1704" s="8" t="s">
        <v>5387</v>
      </c>
      <c r="E1704" s="8" t="s">
        <v>5388</v>
      </c>
      <c r="F1704" s="8" t="s">
        <v>2764</v>
      </c>
      <c r="G1704" s="6" t="s">
        <v>834</v>
      </c>
      <c r="H1704" s="6" t="s">
        <v>40</v>
      </c>
      <c r="I1704" s="6" t="s">
        <v>353</v>
      </c>
      <c r="J1704" s="6" t="s">
        <v>3260</v>
      </c>
      <c r="K1704" s="6" t="s">
        <v>1920</v>
      </c>
      <c r="L1704" s="7" t="s">
        <v>40</v>
      </c>
      <c r="M1704" s="6" t="s">
        <v>356</v>
      </c>
      <c r="N1704" s="8" t="s">
        <v>5389</v>
      </c>
      <c r="O1704" s="6">
        <f>HYPERLINK("https://docs.wto.org/imrd/directdoc.asp?DDFDocuments/t/G/SPS/NTHA741.DOCX", "https://docs.wto.org/imrd/directdoc.asp?DDFDocuments/t/G/SPS/NTHA741.DOCX")</f>
      </c>
      <c r="P1704" s="6">
        <f>HYPERLINK("https://docs.wto.org/imrd/directdoc.asp?DDFDocuments/u/G/SPS/NTHA741.DOCX", "https://docs.wto.org/imrd/directdoc.asp?DDFDocuments/u/G/SPS/NTHA741.DOCX")</f>
      </c>
      <c r="Q1704" s="6">
        <f>HYPERLINK("https://docs.wto.org/imrd/directdoc.asp?DDFDocuments/v/G/SPS/NTHA741.DOCX", "https://docs.wto.org/imrd/directdoc.asp?DDFDocuments/v/G/SPS/NTHA741.DOCX")</f>
      </c>
    </row>
    <row r="1705">
      <c r="A1705" s="6" t="s">
        <v>1775</v>
      </c>
      <c r="B1705" s="7">
        <v>45462</v>
      </c>
      <c r="C1705" s="6">
        <f>HYPERLINK("https://eping.wto.org/en/Search?viewData= G/TBT/N/PHL/330/Add.1"," G/TBT/N/PHL/330/Add.1")</f>
      </c>
      <c r="D1705" s="8" t="s">
        <v>5390</v>
      </c>
      <c r="E1705" s="8" t="s">
        <v>40</v>
      </c>
      <c r="F1705" s="8" t="s">
        <v>5391</v>
      </c>
      <c r="G1705" s="6" t="s">
        <v>5392</v>
      </c>
      <c r="H1705" s="6" t="s">
        <v>153</v>
      </c>
      <c r="I1705" s="6" t="s">
        <v>147</v>
      </c>
      <c r="J1705" s="6" t="s">
        <v>154</v>
      </c>
      <c r="K1705" s="6"/>
      <c r="L1705" s="7" t="s">
        <v>40</v>
      </c>
      <c r="M1705" s="6" t="s">
        <v>76</v>
      </c>
      <c r="N1705" s="8" t="s">
        <v>5393</v>
      </c>
      <c r="O1705" s="6">
        <f>HYPERLINK("https://docs.wto.org/imrd/directdoc.asp?DDFDocuments/t/G/TBTN24/PHL330A1.DOCX", "https://docs.wto.org/imrd/directdoc.asp?DDFDocuments/t/G/TBTN24/PHL330A1.DOCX")</f>
      </c>
      <c r="P1705" s="6">
        <f>HYPERLINK("https://docs.wto.org/imrd/directdoc.asp?DDFDocuments/u/G/TBTN24/PHL330A1.DOCX", "https://docs.wto.org/imrd/directdoc.asp?DDFDocuments/u/G/TBTN24/PHL330A1.DOCX")</f>
      </c>
      <c r="Q1705" s="6">
        <f>HYPERLINK("https://docs.wto.org/imrd/directdoc.asp?DDFDocuments/v/G/TBTN24/PHL330A1.DOCX", "https://docs.wto.org/imrd/directdoc.asp?DDFDocuments/v/G/TBTN24/PHL330A1.DOCX")</f>
      </c>
    </row>
    <row r="1706">
      <c r="A1706" s="6" t="s">
        <v>1076</v>
      </c>
      <c r="B1706" s="7">
        <v>45462</v>
      </c>
      <c r="C1706" s="6">
        <f>HYPERLINK("https://eping.wto.org/en/Search?viewData= G/TBT/N/CHN/1872"," G/TBT/N/CHN/1872")</f>
      </c>
      <c r="D1706" s="8" t="s">
        <v>5394</v>
      </c>
      <c r="E1706" s="8" t="s">
        <v>5395</v>
      </c>
      <c r="F1706" s="8" t="s">
        <v>5396</v>
      </c>
      <c r="G1706" s="6" t="s">
        <v>2829</v>
      </c>
      <c r="H1706" s="6" t="s">
        <v>2877</v>
      </c>
      <c r="I1706" s="6" t="s">
        <v>147</v>
      </c>
      <c r="J1706" s="6" t="s">
        <v>40</v>
      </c>
      <c r="K1706" s="6"/>
      <c r="L1706" s="7">
        <v>45522</v>
      </c>
      <c r="M1706" s="6" t="s">
        <v>25</v>
      </c>
      <c r="N1706" s="8" t="s">
        <v>5397</v>
      </c>
      <c r="O1706" s="6">
        <f>HYPERLINK("https://docs.wto.org/imrd/directdoc.asp?DDFDocuments/t/G/TBTN24/CHN1872.DOCX", "https://docs.wto.org/imrd/directdoc.asp?DDFDocuments/t/G/TBTN24/CHN1872.DOCX")</f>
      </c>
      <c r="P1706" s="6">
        <f>HYPERLINK("https://docs.wto.org/imrd/directdoc.asp?DDFDocuments/u/G/TBTN24/CHN1872.DOCX", "https://docs.wto.org/imrd/directdoc.asp?DDFDocuments/u/G/TBTN24/CHN1872.DOCX")</f>
      </c>
      <c r="Q1706" s="6">
        <f>HYPERLINK("https://docs.wto.org/imrd/directdoc.asp?DDFDocuments/v/G/TBTN24/CHN1872.DOCX", "https://docs.wto.org/imrd/directdoc.asp?DDFDocuments/v/G/TBTN24/CHN1872.DOCX")</f>
      </c>
    </row>
    <row r="1707">
      <c r="A1707" s="6" t="s">
        <v>331</v>
      </c>
      <c r="B1707" s="7">
        <v>45462</v>
      </c>
      <c r="C1707" s="6">
        <f>HYPERLINK("https://eping.wto.org/en/Search?viewData= G/SPS/N/ARE/280"," G/SPS/N/ARE/280")</f>
      </c>
      <c r="D1707" s="8" t="s">
        <v>5398</v>
      </c>
      <c r="E1707" s="8" t="s">
        <v>5399</v>
      </c>
      <c r="F1707" s="8" t="s">
        <v>5400</v>
      </c>
      <c r="G1707" s="6" t="s">
        <v>5401</v>
      </c>
      <c r="H1707" s="6" t="s">
        <v>40</v>
      </c>
      <c r="I1707" s="6" t="s">
        <v>2426</v>
      </c>
      <c r="J1707" s="6" t="s">
        <v>915</v>
      </c>
      <c r="K1707" s="6" t="s">
        <v>40</v>
      </c>
      <c r="L1707" s="7">
        <v>45519</v>
      </c>
      <c r="M1707" s="6" t="s">
        <v>25</v>
      </c>
      <c r="N1707" s="8" t="s">
        <v>5402</v>
      </c>
      <c r="O1707" s="6">
        <f>HYPERLINK("https://docs.wto.org/imrd/directdoc.asp?DDFDocuments/t/G/SPS/NARE280.DOCX", "https://docs.wto.org/imrd/directdoc.asp?DDFDocuments/t/G/SPS/NARE280.DOCX")</f>
      </c>
      <c r="P1707" s="6">
        <f>HYPERLINK("https://docs.wto.org/imrd/directdoc.asp?DDFDocuments/u/G/SPS/NARE280.DOCX", "https://docs.wto.org/imrd/directdoc.asp?DDFDocuments/u/G/SPS/NARE280.DOCX")</f>
      </c>
      <c r="Q1707" s="6">
        <f>HYPERLINK("https://docs.wto.org/imrd/directdoc.asp?DDFDocuments/v/G/SPS/NARE280.DOCX", "https://docs.wto.org/imrd/directdoc.asp?DDFDocuments/v/G/SPS/NARE280.DOCX")</f>
      </c>
    </row>
    <row r="1708">
      <c r="A1708" s="6" t="s">
        <v>401</v>
      </c>
      <c r="B1708" s="7">
        <v>45462</v>
      </c>
      <c r="C1708" s="6">
        <f>HYPERLINK("https://eping.wto.org/en/Search?viewData= G/SPS/N/KOR/801"," G/SPS/N/KOR/801")</f>
      </c>
      <c r="D1708" s="8" t="s">
        <v>5403</v>
      </c>
      <c r="E1708" s="8" t="s">
        <v>5404</v>
      </c>
      <c r="F1708" s="8" t="s">
        <v>404</v>
      </c>
      <c r="G1708" s="6" t="s">
        <v>40</v>
      </c>
      <c r="H1708" s="6" t="s">
        <v>40</v>
      </c>
      <c r="I1708" s="6" t="s">
        <v>38</v>
      </c>
      <c r="J1708" s="6" t="s">
        <v>60</v>
      </c>
      <c r="K1708" s="6" t="s">
        <v>40</v>
      </c>
      <c r="L1708" s="7" t="s">
        <v>40</v>
      </c>
      <c r="M1708" s="6" t="s">
        <v>25</v>
      </c>
      <c r="N1708" s="8" t="s">
        <v>5405</v>
      </c>
      <c r="O1708" s="6">
        <f>HYPERLINK("https://docs.wto.org/imrd/directdoc.asp?DDFDocuments/t/G/SPS/NKOR801.DOCX", "https://docs.wto.org/imrd/directdoc.asp?DDFDocuments/t/G/SPS/NKOR801.DOCX")</f>
      </c>
      <c r="P1708" s="6">
        <f>HYPERLINK("https://docs.wto.org/imrd/directdoc.asp?DDFDocuments/u/G/SPS/NKOR801.DOCX", "https://docs.wto.org/imrd/directdoc.asp?DDFDocuments/u/G/SPS/NKOR801.DOCX")</f>
      </c>
      <c r="Q1708" s="6">
        <f>HYPERLINK("https://docs.wto.org/imrd/directdoc.asp?DDFDocuments/v/G/SPS/NKOR801.DOCX", "https://docs.wto.org/imrd/directdoc.asp?DDFDocuments/v/G/SPS/NKOR801.DOCX")</f>
      </c>
    </row>
    <row r="1709">
      <c r="A1709" s="6" t="s">
        <v>1076</v>
      </c>
      <c r="B1709" s="7">
        <v>45462</v>
      </c>
      <c r="C1709" s="6">
        <f>HYPERLINK("https://eping.wto.org/en/Search?viewData= G/TBT/N/CHN/1874"," G/TBT/N/CHN/1874")</f>
      </c>
      <c r="D1709" s="8" t="s">
        <v>5406</v>
      </c>
      <c r="E1709" s="8" t="s">
        <v>5407</v>
      </c>
      <c r="F1709" s="8" t="s">
        <v>2828</v>
      </c>
      <c r="G1709" s="6" t="s">
        <v>2829</v>
      </c>
      <c r="H1709" s="6" t="s">
        <v>5408</v>
      </c>
      <c r="I1709" s="6" t="s">
        <v>147</v>
      </c>
      <c r="J1709" s="6" t="s">
        <v>40</v>
      </c>
      <c r="K1709" s="6"/>
      <c r="L1709" s="7">
        <v>45522</v>
      </c>
      <c r="M1709" s="6" t="s">
        <v>25</v>
      </c>
      <c r="N1709" s="8" t="s">
        <v>5409</v>
      </c>
      <c r="O1709" s="6">
        <f>HYPERLINK("https://docs.wto.org/imrd/directdoc.asp?DDFDocuments/t/G/TBTN24/CHN1874.DOCX", "https://docs.wto.org/imrd/directdoc.asp?DDFDocuments/t/G/TBTN24/CHN1874.DOCX")</f>
      </c>
      <c r="P1709" s="6">
        <f>HYPERLINK("https://docs.wto.org/imrd/directdoc.asp?DDFDocuments/u/G/TBTN24/CHN1874.DOCX", "https://docs.wto.org/imrd/directdoc.asp?DDFDocuments/u/G/TBTN24/CHN1874.DOCX")</f>
      </c>
      <c r="Q1709" s="6">
        <f>HYPERLINK("https://docs.wto.org/imrd/directdoc.asp?DDFDocuments/v/G/TBTN24/CHN1874.DOCX", "https://docs.wto.org/imrd/directdoc.asp?DDFDocuments/v/G/TBTN24/CHN1874.DOCX")</f>
      </c>
    </row>
    <row r="1710">
      <c r="A1710" s="6" t="s">
        <v>373</v>
      </c>
      <c r="B1710" s="7">
        <v>45462</v>
      </c>
      <c r="C1710" s="6">
        <f>HYPERLINK("https://eping.wto.org/en/Search?viewData= G/TBT/N/ISR/1330/Add.2"," G/TBT/N/ISR/1330/Add.2")</f>
      </c>
      <c r="D1710" s="8" t="s">
        <v>5410</v>
      </c>
      <c r="E1710" s="8" t="s">
        <v>40</v>
      </c>
      <c r="F1710" s="8" t="s">
        <v>1935</v>
      </c>
      <c r="G1710" s="6" t="s">
        <v>1936</v>
      </c>
      <c r="H1710" s="6" t="s">
        <v>208</v>
      </c>
      <c r="I1710" s="6" t="s">
        <v>1166</v>
      </c>
      <c r="J1710" s="6" t="s">
        <v>154</v>
      </c>
      <c r="K1710" s="6"/>
      <c r="L1710" s="7" t="s">
        <v>40</v>
      </c>
      <c r="M1710" s="6" t="s">
        <v>76</v>
      </c>
      <c r="N1710" s="8" t="s">
        <v>5411</v>
      </c>
      <c r="O1710" s="6">
        <f>HYPERLINK("https://docs.wto.org/imrd/directdoc.asp?DDFDocuments/t/G/TBTN24/ISR1330A2.DOCX", "https://docs.wto.org/imrd/directdoc.asp?DDFDocuments/t/G/TBTN24/ISR1330A2.DOCX")</f>
      </c>
      <c r="P1710" s="6">
        <f>HYPERLINK("https://docs.wto.org/imrd/directdoc.asp?DDFDocuments/u/G/TBTN24/ISR1330A2.DOCX", "https://docs.wto.org/imrd/directdoc.asp?DDFDocuments/u/G/TBTN24/ISR1330A2.DOCX")</f>
      </c>
      <c r="Q1710" s="6">
        <f>HYPERLINK("https://docs.wto.org/imrd/directdoc.asp?DDFDocuments/v/G/TBTN24/ISR1330A2.DOCX", "https://docs.wto.org/imrd/directdoc.asp?DDFDocuments/v/G/TBTN24/ISR1330A2.DOCX")</f>
      </c>
    </row>
    <row r="1711">
      <c r="A1711" s="6" t="s">
        <v>1076</v>
      </c>
      <c r="B1711" s="7">
        <v>45462</v>
      </c>
      <c r="C1711" s="6">
        <f>HYPERLINK("https://eping.wto.org/en/Search?viewData= G/TBT/N/CHN/1871"," G/TBT/N/CHN/1871")</f>
      </c>
      <c r="D1711" s="8" t="s">
        <v>5412</v>
      </c>
      <c r="E1711" s="8" t="s">
        <v>5413</v>
      </c>
      <c r="F1711" s="8" t="s">
        <v>5414</v>
      </c>
      <c r="G1711" s="6" t="s">
        <v>2829</v>
      </c>
      <c r="H1711" s="6" t="s">
        <v>4083</v>
      </c>
      <c r="I1711" s="6" t="s">
        <v>147</v>
      </c>
      <c r="J1711" s="6" t="s">
        <v>40</v>
      </c>
      <c r="K1711" s="6"/>
      <c r="L1711" s="7">
        <v>45522</v>
      </c>
      <c r="M1711" s="6" t="s">
        <v>25</v>
      </c>
      <c r="N1711" s="8" t="s">
        <v>5415</v>
      </c>
      <c r="O1711" s="6">
        <f>HYPERLINK("https://docs.wto.org/imrd/directdoc.asp?DDFDocuments/t/G/TBTN24/CHN1871.DOCX", "https://docs.wto.org/imrd/directdoc.asp?DDFDocuments/t/G/TBTN24/CHN1871.DOCX")</f>
      </c>
      <c r="P1711" s="6">
        <f>HYPERLINK("https://docs.wto.org/imrd/directdoc.asp?DDFDocuments/u/G/TBTN24/CHN1871.DOCX", "https://docs.wto.org/imrd/directdoc.asp?DDFDocuments/u/G/TBTN24/CHN1871.DOCX")</f>
      </c>
      <c r="Q1711" s="6">
        <f>HYPERLINK("https://docs.wto.org/imrd/directdoc.asp?DDFDocuments/v/G/TBTN24/CHN1871.DOCX", "https://docs.wto.org/imrd/directdoc.asp?DDFDocuments/v/G/TBTN24/CHN1871.DOCX")</f>
      </c>
    </row>
    <row r="1712">
      <c r="A1712" s="6" t="s">
        <v>1076</v>
      </c>
      <c r="B1712" s="7">
        <v>45462</v>
      </c>
      <c r="C1712" s="6">
        <f>HYPERLINK("https://eping.wto.org/en/Search?viewData= G/TBT/N/CHN/1867"," G/TBT/N/CHN/1867")</f>
      </c>
      <c r="D1712" s="8" t="s">
        <v>5416</v>
      </c>
      <c r="E1712" s="8" t="s">
        <v>5417</v>
      </c>
      <c r="F1712" s="8" t="s">
        <v>5418</v>
      </c>
      <c r="G1712" s="6" t="s">
        <v>5419</v>
      </c>
      <c r="H1712" s="6" t="s">
        <v>5420</v>
      </c>
      <c r="I1712" s="6" t="s">
        <v>147</v>
      </c>
      <c r="J1712" s="6" t="s">
        <v>40</v>
      </c>
      <c r="K1712" s="6"/>
      <c r="L1712" s="7">
        <v>45522</v>
      </c>
      <c r="M1712" s="6" t="s">
        <v>25</v>
      </c>
      <c r="N1712" s="8" t="s">
        <v>5421</v>
      </c>
      <c r="O1712" s="6">
        <f>HYPERLINK("https://docs.wto.org/imrd/directdoc.asp?DDFDocuments/t/G/TBTN24/CHN1867.DOCX", "https://docs.wto.org/imrd/directdoc.asp?DDFDocuments/t/G/TBTN24/CHN1867.DOCX")</f>
      </c>
      <c r="P1712" s="6">
        <f>HYPERLINK("https://docs.wto.org/imrd/directdoc.asp?DDFDocuments/u/G/TBTN24/CHN1867.DOCX", "https://docs.wto.org/imrd/directdoc.asp?DDFDocuments/u/G/TBTN24/CHN1867.DOCX")</f>
      </c>
      <c r="Q1712" s="6">
        <f>HYPERLINK("https://docs.wto.org/imrd/directdoc.asp?DDFDocuments/v/G/TBTN24/CHN1867.DOCX", "https://docs.wto.org/imrd/directdoc.asp?DDFDocuments/v/G/TBTN24/CHN1867.DOCX")</f>
      </c>
    </row>
    <row r="1713">
      <c r="A1713" s="6" t="s">
        <v>358</v>
      </c>
      <c r="B1713" s="7">
        <v>45462</v>
      </c>
      <c r="C1713" s="6">
        <f>HYPERLINK("https://eping.wto.org/en/Search?viewData= G/TBT/N/NZL/112/Add.1"," G/TBT/N/NZL/112/Add.1")</f>
      </c>
      <c r="D1713" s="8" t="s">
        <v>5422</v>
      </c>
      <c r="E1713" s="8" t="s">
        <v>5423</v>
      </c>
      <c r="F1713" s="8" t="s">
        <v>5424</v>
      </c>
      <c r="G1713" s="6" t="s">
        <v>40</v>
      </c>
      <c r="H1713" s="6" t="s">
        <v>2990</v>
      </c>
      <c r="I1713" s="6" t="s">
        <v>213</v>
      </c>
      <c r="J1713" s="6" t="s">
        <v>154</v>
      </c>
      <c r="K1713" s="6"/>
      <c r="L1713" s="7" t="s">
        <v>40</v>
      </c>
      <c r="M1713" s="6" t="s">
        <v>76</v>
      </c>
      <c r="N1713" s="8" t="s">
        <v>5425</v>
      </c>
      <c r="O1713" s="6">
        <f>HYPERLINK("https://docs.wto.org/imrd/directdoc.asp?DDFDocuments/t/G/TBTN22/NZL112A1.DOCX", "https://docs.wto.org/imrd/directdoc.asp?DDFDocuments/t/G/TBTN22/NZL112A1.DOCX")</f>
      </c>
      <c r="P1713" s="6">
        <f>HYPERLINK("https://docs.wto.org/imrd/directdoc.asp?DDFDocuments/u/G/TBTN22/NZL112A1.DOCX", "https://docs.wto.org/imrd/directdoc.asp?DDFDocuments/u/G/TBTN22/NZL112A1.DOCX")</f>
      </c>
      <c r="Q1713" s="6">
        <f>HYPERLINK("https://docs.wto.org/imrd/directdoc.asp?DDFDocuments/v/G/TBTN22/NZL112A1.DOCX", "https://docs.wto.org/imrd/directdoc.asp?DDFDocuments/v/G/TBTN22/NZL112A1.DOCX")</f>
      </c>
    </row>
    <row r="1714">
      <c r="A1714" s="6" t="s">
        <v>322</v>
      </c>
      <c r="B1714" s="7">
        <v>45462</v>
      </c>
      <c r="C1714" s="6">
        <f>HYPERLINK("https://eping.wto.org/en/Search?viewData= G/SPS/N/TPKM/629"," G/SPS/N/TPKM/629")</f>
      </c>
      <c r="D1714" s="8" t="s">
        <v>5426</v>
      </c>
      <c r="E1714" s="8" t="s">
        <v>5427</v>
      </c>
      <c r="F1714" s="8" t="s">
        <v>5428</v>
      </c>
      <c r="G1714" s="6" t="s">
        <v>40</v>
      </c>
      <c r="H1714" s="6" t="s">
        <v>40</v>
      </c>
      <c r="I1714" s="6" t="s">
        <v>38</v>
      </c>
      <c r="J1714" s="6" t="s">
        <v>60</v>
      </c>
      <c r="K1714" s="6" t="s">
        <v>40</v>
      </c>
      <c r="L1714" s="7">
        <v>45522</v>
      </c>
      <c r="M1714" s="6" t="s">
        <v>25</v>
      </c>
      <c r="N1714" s="8" t="s">
        <v>5429</v>
      </c>
      <c r="O1714" s="6">
        <f>HYPERLINK("https://docs.wto.org/imrd/directdoc.asp?DDFDocuments/t/G/SPS/NTPKM629.DOCX", "https://docs.wto.org/imrd/directdoc.asp?DDFDocuments/t/G/SPS/NTPKM629.DOCX")</f>
      </c>
      <c r="P1714" s="6">
        <f>HYPERLINK("https://docs.wto.org/imrd/directdoc.asp?DDFDocuments/u/G/SPS/NTPKM629.DOCX", "https://docs.wto.org/imrd/directdoc.asp?DDFDocuments/u/G/SPS/NTPKM629.DOCX")</f>
      </c>
      <c r="Q1714" s="6">
        <f>HYPERLINK("https://docs.wto.org/imrd/directdoc.asp?DDFDocuments/v/G/SPS/NTPKM629.DOCX", "https://docs.wto.org/imrd/directdoc.asp?DDFDocuments/v/G/SPS/NTPKM629.DOCX")</f>
      </c>
    </row>
    <row r="1715">
      <c r="A1715" s="6" t="s">
        <v>1076</v>
      </c>
      <c r="B1715" s="7">
        <v>45462</v>
      </c>
      <c r="C1715" s="6">
        <f>HYPERLINK("https://eping.wto.org/en/Search?viewData= G/TBT/N/CHN/1865"," G/TBT/N/CHN/1865")</f>
      </c>
      <c r="D1715" s="8" t="s">
        <v>5430</v>
      </c>
      <c r="E1715" s="8" t="s">
        <v>5431</v>
      </c>
      <c r="F1715" s="8" t="s">
        <v>5432</v>
      </c>
      <c r="G1715" s="6" t="s">
        <v>40</v>
      </c>
      <c r="H1715" s="6" t="s">
        <v>5433</v>
      </c>
      <c r="I1715" s="6" t="s">
        <v>1220</v>
      </c>
      <c r="J1715" s="6" t="s">
        <v>40</v>
      </c>
      <c r="K1715" s="6"/>
      <c r="L1715" s="7">
        <v>45522</v>
      </c>
      <c r="M1715" s="6" t="s">
        <v>25</v>
      </c>
      <c r="N1715" s="8" t="s">
        <v>5434</v>
      </c>
      <c r="O1715" s="6">
        <f>HYPERLINK("https://docs.wto.org/imrd/directdoc.asp?DDFDocuments/t/G/TBTN24/CHN1865.DOCX", "https://docs.wto.org/imrd/directdoc.asp?DDFDocuments/t/G/TBTN24/CHN1865.DOCX")</f>
      </c>
      <c r="P1715" s="6">
        <f>HYPERLINK("https://docs.wto.org/imrd/directdoc.asp?DDFDocuments/u/G/TBTN24/CHN1865.DOCX", "https://docs.wto.org/imrd/directdoc.asp?DDFDocuments/u/G/TBTN24/CHN1865.DOCX")</f>
      </c>
      <c r="Q1715" s="6">
        <f>HYPERLINK("https://docs.wto.org/imrd/directdoc.asp?DDFDocuments/v/G/TBTN24/CHN1865.DOCX", "https://docs.wto.org/imrd/directdoc.asp?DDFDocuments/v/G/TBTN24/CHN1865.DOCX")</f>
      </c>
    </row>
    <row r="1716">
      <c r="A1716" s="6" t="s">
        <v>89</v>
      </c>
      <c r="B1716" s="7">
        <v>45461</v>
      </c>
      <c r="C1716" s="6">
        <f>HYPERLINK("https://eping.wto.org/en/Search?viewData= G/TBT/N/ECU/538"," G/TBT/N/ECU/538")</f>
      </c>
      <c r="D1716" s="8" t="s">
        <v>5435</v>
      </c>
      <c r="E1716" s="8" t="s">
        <v>5436</v>
      </c>
      <c r="F1716" s="8" t="s">
        <v>5437</v>
      </c>
      <c r="G1716" s="6" t="s">
        <v>5438</v>
      </c>
      <c r="H1716" s="6" t="s">
        <v>5439</v>
      </c>
      <c r="I1716" s="6" t="s">
        <v>94</v>
      </c>
      <c r="J1716" s="6" t="s">
        <v>40</v>
      </c>
      <c r="K1716" s="6"/>
      <c r="L1716" s="7">
        <v>45521</v>
      </c>
      <c r="M1716" s="6" t="s">
        <v>25</v>
      </c>
      <c r="N1716" s="8" t="s">
        <v>5440</v>
      </c>
      <c r="O1716" s="6">
        <f>HYPERLINK("https://docs.wto.org/imrd/directdoc.asp?DDFDocuments/t/G/TBTN24/ECU538.DOCX", "https://docs.wto.org/imrd/directdoc.asp?DDFDocuments/t/G/TBTN24/ECU538.DOCX")</f>
      </c>
      <c r="P1716" s="6">
        <f>HYPERLINK("https://docs.wto.org/imrd/directdoc.asp?DDFDocuments/u/G/TBTN24/ECU538.DOCX", "https://docs.wto.org/imrd/directdoc.asp?DDFDocuments/u/G/TBTN24/ECU538.DOCX")</f>
      </c>
      <c r="Q1716" s="6">
        <f>HYPERLINK("https://docs.wto.org/imrd/directdoc.asp?DDFDocuments/v/G/TBTN24/ECU538.DOCX", "https://docs.wto.org/imrd/directdoc.asp?DDFDocuments/v/G/TBTN24/ECU538.DOCX")</f>
      </c>
    </row>
    <row r="1717">
      <c r="A1717" s="6" t="s">
        <v>1688</v>
      </c>
      <c r="B1717" s="7">
        <v>45461</v>
      </c>
      <c r="C1717" s="6">
        <f>HYPERLINK("https://eping.wto.org/en/Search?viewData= G/SPS/N/THA/737"," G/SPS/N/THA/737")</f>
      </c>
      <c r="D1717" s="8" t="s">
        <v>5441</v>
      </c>
      <c r="E1717" s="8" t="s">
        <v>5442</v>
      </c>
      <c r="F1717" s="8" t="s">
        <v>2728</v>
      </c>
      <c r="G1717" s="6" t="s">
        <v>2729</v>
      </c>
      <c r="H1717" s="6" t="s">
        <v>40</v>
      </c>
      <c r="I1717" s="6" t="s">
        <v>353</v>
      </c>
      <c r="J1717" s="6" t="s">
        <v>5443</v>
      </c>
      <c r="K1717" s="6" t="s">
        <v>129</v>
      </c>
      <c r="L1717" s="7" t="s">
        <v>40</v>
      </c>
      <c r="M1717" s="6" t="s">
        <v>356</v>
      </c>
      <c r="N1717" s="8" t="s">
        <v>5444</v>
      </c>
      <c r="O1717" s="6">
        <f>HYPERLINK("https://docs.wto.org/imrd/directdoc.asp?DDFDocuments/t/G/SPS/NTHA737.DOCX", "https://docs.wto.org/imrd/directdoc.asp?DDFDocuments/t/G/SPS/NTHA737.DOCX")</f>
      </c>
      <c r="P1717" s="6">
        <f>HYPERLINK("https://docs.wto.org/imrd/directdoc.asp?DDFDocuments/u/G/SPS/NTHA737.DOCX", "https://docs.wto.org/imrd/directdoc.asp?DDFDocuments/u/G/SPS/NTHA737.DOCX")</f>
      </c>
      <c r="Q1717" s="6">
        <f>HYPERLINK("https://docs.wto.org/imrd/directdoc.asp?DDFDocuments/v/G/SPS/NTHA737.DOCX", "https://docs.wto.org/imrd/directdoc.asp?DDFDocuments/v/G/SPS/NTHA737.DOCX")</f>
      </c>
    </row>
    <row r="1718">
      <c r="A1718" s="6" t="s">
        <v>89</v>
      </c>
      <c r="B1718" s="7">
        <v>45461</v>
      </c>
      <c r="C1718" s="6">
        <f>HYPERLINK("https://eping.wto.org/en/Search?viewData= G/TBT/N/ECU/537"," G/TBT/N/ECU/537")</f>
      </c>
      <c r="D1718" s="8" t="s">
        <v>5445</v>
      </c>
      <c r="E1718" s="8" t="s">
        <v>5446</v>
      </c>
      <c r="F1718" s="8" t="s">
        <v>5447</v>
      </c>
      <c r="G1718" s="6" t="s">
        <v>5448</v>
      </c>
      <c r="H1718" s="6" t="s">
        <v>5449</v>
      </c>
      <c r="I1718" s="6" t="s">
        <v>94</v>
      </c>
      <c r="J1718" s="6" t="s">
        <v>40</v>
      </c>
      <c r="K1718" s="6"/>
      <c r="L1718" s="7">
        <v>45521</v>
      </c>
      <c r="M1718" s="6" t="s">
        <v>25</v>
      </c>
      <c r="N1718" s="8" t="s">
        <v>5450</v>
      </c>
      <c r="O1718" s="6">
        <f>HYPERLINK("https://docs.wto.org/imrd/directdoc.asp?DDFDocuments/t/G/TBTN24/ECU537.DOCX", "https://docs.wto.org/imrd/directdoc.asp?DDFDocuments/t/G/TBTN24/ECU537.DOCX")</f>
      </c>
      <c r="P1718" s="6">
        <f>HYPERLINK("https://docs.wto.org/imrd/directdoc.asp?DDFDocuments/u/G/TBTN24/ECU537.DOCX", "https://docs.wto.org/imrd/directdoc.asp?DDFDocuments/u/G/TBTN24/ECU537.DOCX")</f>
      </c>
      <c r="Q1718" s="6">
        <f>HYPERLINK("https://docs.wto.org/imrd/directdoc.asp?DDFDocuments/v/G/TBTN24/ECU537.DOCX", "https://docs.wto.org/imrd/directdoc.asp?DDFDocuments/v/G/TBTN24/ECU537.DOCX")</f>
      </c>
    </row>
    <row r="1719">
      <c r="A1719" s="6" t="s">
        <v>160</v>
      </c>
      <c r="B1719" s="7">
        <v>45461</v>
      </c>
      <c r="C1719" s="6">
        <f>HYPERLINK("https://eping.wto.org/en/Search?viewData= G/TBT/N/USA/1987/Add.1/Corr.1"," G/TBT/N/USA/1987/Add.1/Corr.1")</f>
      </c>
      <c r="D1719" s="8" t="s">
        <v>5451</v>
      </c>
      <c r="E1719" s="8" t="s">
        <v>5452</v>
      </c>
      <c r="F1719" s="8" t="s">
        <v>5453</v>
      </c>
      <c r="G1719" s="6" t="s">
        <v>40</v>
      </c>
      <c r="H1719" s="6" t="s">
        <v>5454</v>
      </c>
      <c r="I1719" s="6" t="s">
        <v>3620</v>
      </c>
      <c r="J1719" s="6" t="s">
        <v>40</v>
      </c>
      <c r="K1719" s="6"/>
      <c r="L1719" s="7" t="s">
        <v>40</v>
      </c>
      <c r="M1719" s="6" t="s">
        <v>224</v>
      </c>
      <c r="N1719" s="8" t="s">
        <v>5455</v>
      </c>
      <c r="O1719" s="6">
        <f>HYPERLINK("https://docs.wto.org/imrd/directdoc.asp?DDFDocuments/t/G/TBTN23/USA1987A1C1.DOCX", "https://docs.wto.org/imrd/directdoc.asp?DDFDocuments/t/G/TBTN23/USA1987A1C1.DOCX")</f>
      </c>
      <c r="P1719" s="6">
        <f>HYPERLINK("https://docs.wto.org/imrd/directdoc.asp?DDFDocuments/u/G/TBTN23/USA1987A1C1.DOCX", "https://docs.wto.org/imrd/directdoc.asp?DDFDocuments/u/G/TBTN23/USA1987A1C1.DOCX")</f>
      </c>
      <c r="Q1719" s="6">
        <f>HYPERLINK("https://docs.wto.org/imrd/directdoc.asp?DDFDocuments/v/G/TBTN23/USA1987A1C1.DOCX", "https://docs.wto.org/imrd/directdoc.asp?DDFDocuments/v/G/TBTN23/USA1987A1C1.DOCX")</f>
      </c>
    </row>
    <row r="1720">
      <c r="A1720" s="6" t="s">
        <v>5456</v>
      </c>
      <c r="B1720" s="7">
        <v>45461</v>
      </c>
      <c r="C1720" s="6">
        <f>HYPERLINK("https://eping.wto.org/en/Search?viewData= G/TBT/N/LTU/52"," G/TBT/N/LTU/52")</f>
      </c>
      <c r="D1720" s="8" t="s">
        <v>5457</v>
      </c>
      <c r="E1720" s="8" t="s">
        <v>5458</v>
      </c>
      <c r="F1720" s="8" t="s">
        <v>3667</v>
      </c>
      <c r="G1720" s="6" t="s">
        <v>5459</v>
      </c>
      <c r="H1720" s="6" t="s">
        <v>1316</v>
      </c>
      <c r="I1720" s="6" t="s">
        <v>2834</v>
      </c>
      <c r="J1720" s="6" t="s">
        <v>95</v>
      </c>
      <c r="K1720" s="6"/>
      <c r="L1720" s="7" t="s">
        <v>40</v>
      </c>
      <c r="M1720" s="6" t="s">
        <v>25</v>
      </c>
      <c r="N1720" s="8" t="s">
        <v>5460</v>
      </c>
      <c r="O1720" s="6">
        <f>HYPERLINK("https://docs.wto.org/imrd/directdoc.asp?DDFDocuments/t/G/TBTN24/LTU52.DOCX", "https://docs.wto.org/imrd/directdoc.asp?DDFDocuments/t/G/TBTN24/LTU52.DOCX")</f>
      </c>
      <c r="P1720" s="6">
        <f>HYPERLINK("https://docs.wto.org/imrd/directdoc.asp?DDFDocuments/u/G/TBTN24/LTU52.DOCX", "https://docs.wto.org/imrd/directdoc.asp?DDFDocuments/u/G/TBTN24/LTU52.DOCX")</f>
      </c>
      <c r="Q1720" s="6">
        <f>HYPERLINK("https://docs.wto.org/imrd/directdoc.asp?DDFDocuments/v/G/TBTN24/LTU52.DOCX", "https://docs.wto.org/imrd/directdoc.asp?DDFDocuments/v/G/TBTN24/LTU52.DOCX")</f>
      </c>
    </row>
    <row r="1721">
      <c r="A1721" s="6" t="s">
        <v>1688</v>
      </c>
      <c r="B1721" s="7">
        <v>45461</v>
      </c>
      <c r="C1721" s="6">
        <f>HYPERLINK("https://eping.wto.org/en/Search?viewData= G/SPS/N/THA/739"," G/SPS/N/THA/739")</f>
      </c>
      <c r="D1721" s="8" t="s">
        <v>5461</v>
      </c>
      <c r="E1721" s="8" t="s">
        <v>5462</v>
      </c>
      <c r="F1721" s="8" t="s">
        <v>2764</v>
      </c>
      <c r="G1721" s="6" t="s">
        <v>834</v>
      </c>
      <c r="H1721" s="6" t="s">
        <v>40</v>
      </c>
      <c r="I1721" s="6" t="s">
        <v>353</v>
      </c>
      <c r="J1721" s="6" t="s">
        <v>5463</v>
      </c>
      <c r="K1721" s="6" t="s">
        <v>5464</v>
      </c>
      <c r="L1721" s="7" t="s">
        <v>40</v>
      </c>
      <c r="M1721" s="6" t="s">
        <v>356</v>
      </c>
      <c r="N1721" s="8" t="s">
        <v>5465</v>
      </c>
      <c r="O1721" s="6">
        <f>HYPERLINK("https://docs.wto.org/imrd/directdoc.asp?DDFDocuments/t/G/SPS/NTHA739.DOCX", "https://docs.wto.org/imrd/directdoc.asp?DDFDocuments/t/G/SPS/NTHA739.DOCX")</f>
      </c>
      <c r="P1721" s="6">
        <f>HYPERLINK("https://docs.wto.org/imrd/directdoc.asp?DDFDocuments/u/G/SPS/NTHA739.DOCX", "https://docs.wto.org/imrd/directdoc.asp?DDFDocuments/u/G/SPS/NTHA739.DOCX")</f>
      </c>
      <c r="Q1721" s="6">
        <f>HYPERLINK("https://docs.wto.org/imrd/directdoc.asp?DDFDocuments/v/G/SPS/NTHA739.DOCX", "https://docs.wto.org/imrd/directdoc.asp?DDFDocuments/v/G/SPS/NTHA739.DOCX")</f>
      </c>
    </row>
    <row r="1722">
      <c r="A1722" s="6" t="s">
        <v>160</v>
      </c>
      <c r="B1722" s="7">
        <v>45461</v>
      </c>
      <c r="C1722" s="6">
        <f>HYPERLINK("https://eping.wto.org/en/Search?viewData= G/TBT/N/USA/2087/Add.1"," G/TBT/N/USA/2087/Add.1")</f>
      </c>
      <c r="D1722" s="8" t="s">
        <v>510</v>
      </c>
      <c r="E1722" s="8" t="s">
        <v>5466</v>
      </c>
      <c r="F1722" s="8" t="s">
        <v>512</v>
      </c>
      <c r="G1722" s="6" t="s">
        <v>40</v>
      </c>
      <c r="H1722" s="6" t="s">
        <v>513</v>
      </c>
      <c r="I1722" s="6" t="s">
        <v>147</v>
      </c>
      <c r="J1722" s="6" t="s">
        <v>40</v>
      </c>
      <c r="K1722" s="6"/>
      <c r="L1722" s="7" t="s">
        <v>40</v>
      </c>
      <c r="M1722" s="6" t="s">
        <v>76</v>
      </c>
      <c r="N1722" s="6"/>
      <c r="O1722" s="6">
        <f>HYPERLINK("https://docs.wto.org/imrd/directdoc.asp?DDFDocuments/t/G/TBTN24/USA2087A1.DOCX", "https://docs.wto.org/imrd/directdoc.asp?DDFDocuments/t/G/TBTN24/USA2087A1.DOCX")</f>
      </c>
      <c r="P1722" s="6">
        <f>HYPERLINK("https://docs.wto.org/imrd/directdoc.asp?DDFDocuments/u/G/TBTN24/USA2087A1.DOCX", "https://docs.wto.org/imrd/directdoc.asp?DDFDocuments/u/G/TBTN24/USA2087A1.DOCX")</f>
      </c>
      <c r="Q1722" s="6">
        <f>HYPERLINK("https://docs.wto.org/imrd/directdoc.asp?DDFDocuments/v/G/TBTN24/USA2087A1.DOCX", "https://docs.wto.org/imrd/directdoc.asp?DDFDocuments/v/G/TBTN24/USA2087A1.DOCX")</f>
      </c>
    </row>
    <row r="1723">
      <c r="A1723" s="6" t="s">
        <v>1688</v>
      </c>
      <c r="B1723" s="7">
        <v>45461</v>
      </c>
      <c r="C1723" s="6">
        <f>HYPERLINK("https://eping.wto.org/en/Search?viewData= G/SPS/N/THA/736"," G/SPS/N/THA/736")</f>
      </c>
      <c r="D1723" s="8" t="s">
        <v>5467</v>
      </c>
      <c r="E1723" s="8" t="s">
        <v>5468</v>
      </c>
      <c r="F1723" s="8" t="s">
        <v>5469</v>
      </c>
      <c r="G1723" s="6" t="s">
        <v>5470</v>
      </c>
      <c r="H1723" s="6" t="s">
        <v>40</v>
      </c>
      <c r="I1723" s="6" t="s">
        <v>353</v>
      </c>
      <c r="J1723" s="6" t="s">
        <v>915</v>
      </c>
      <c r="K1723" s="6" t="s">
        <v>974</v>
      </c>
      <c r="L1723" s="7" t="s">
        <v>40</v>
      </c>
      <c r="M1723" s="6" t="s">
        <v>356</v>
      </c>
      <c r="N1723" s="8" t="s">
        <v>5471</v>
      </c>
      <c r="O1723" s="6">
        <f>HYPERLINK("https://docs.wto.org/imrd/directdoc.asp?DDFDocuments/t/G/SPS/NTHA736.DOCX", "https://docs.wto.org/imrd/directdoc.asp?DDFDocuments/t/G/SPS/NTHA736.DOCX")</f>
      </c>
      <c r="P1723" s="6">
        <f>HYPERLINK("https://docs.wto.org/imrd/directdoc.asp?DDFDocuments/u/G/SPS/NTHA736.DOCX", "https://docs.wto.org/imrd/directdoc.asp?DDFDocuments/u/G/SPS/NTHA736.DOCX")</f>
      </c>
      <c r="Q1723" s="6">
        <f>HYPERLINK("https://docs.wto.org/imrd/directdoc.asp?DDFDocuments/v/G/SPS/NTHA736.DOCX", "https://docs.wto.org/imrd/directdoc.asp?DDFDocuments/v/G/SPS/NTHA736.DOCX")</f>
      </c>
    </row>
    <row r="1724">
      <c r="A1724" s="6" t="s">
        <v>198</v>
      </c>
      <c r="B1724" s="7">
        <v>45461</v>
      </c>
      <c r="C1724" s="6">
        <f>HYPERLINK("https://eping.wto.org/en/Search?viewData= G/TBT/N/CHL/685"," G/TBT/N/CHL/685")</f>
      </c>
      <c r="D1724" s="8" t="s">
        <v>5472</v>
      </c>
      <c r="E1724" s="8" t="s">
        <v>5473</v>
      </c>
      <c r="F1724" s="8" t="s">
        <v>5474</v>
      </c>
      <c r="G1724" s="6" t="s">
        <v>5475</v>
      </c>
      <c r="H1724" s="6" t="s">
        <v>5476</v>
      </c>
      <c r="I1724" s="6" t="s">
        <v>147</v>
      </c>
      <c r="J1724" s="6" t="s">
        <v>40</v>
      </c>
      <c r="K1724" s="6"/>
      <c r="L1724" s="7">
        <v>45521</v>
      </c>
      <c r="M1724" s="6" t="s">
        <v>25</v>
      </c>
      <c r="N1724" s="8" t="s">
        <v>5477</v>
      </c>
      <c r="O1724" s="6">
        <f>HYPERLINK("https://docs.wto.org/imrd/directdoc.asp?DDFDocuments/t/G/TBTN24/CHL685.DOCX", "https://docs.wto.org/imrd/directdoc.asp?DDFDocuments/t/G/TBTN24/CHL685.DOCX")</f>
      </c>
      <c r="P1724" s="6">
        <f>HYPERLINK("https://docs.wto.org/imrd/directdoc.asp?DDFDocuments/u/G/TBTN24/CHL685.DOCX", "https://docs.wto.org/imrd/directdoc.asp?DDFDocuments/u/G/TBTN24/CHL685.DOCX")</f>
      </c>
      <c r="Q1724" s="6">
        <f>HYPERLINK("https://docs.wto.org/imrd/directdoc.asp?DDFDocuments/v/G/TBTN24/CHL685.DOCX", "https://docs.wto.org/imrd/directdoc.asp?DDFDocuments/v/G/TBTN24/CHL685.DOCX")</f>
      </c>
    </row>
    <row r="1725">
      <c r="A1725" s="6" t="s">
        <v>1688</v>
      </c>
      <c r="B1725" s="7">
        <v>45461</v>
      </c>
      <c r="C1725" s="6">
        <f>HYPERLINK("https://eping.wto.org/en/Search?viewData= G/SPS/N/THA/738"," G/SPS/N/THA/738")</f>
      </c>
      <c r="D1725" s="8" t="s">
        <v>5478</v>
      </c>
      <c r="E1725" s="8" t="s">
        <v>5479</v>
      </c>
      <c r="F1725" s="8" t="s">
        <v>2728</v>
      </c>
      <c r="G1725" s="6" t="s">
        <v>2729</v>
      </c>
      <c r="H1725" s="6" t="s">
        <v>40</v>
      </c>
      <c r="I1725" s="6" t="s">
        <v>353</v>
      </c>
      <c r="J1725" s="6" t="s">
        <v>5480</v>
      </c>
      <c r="K1725" s="6" t="s">
        <v>774</v>
      </c>
      <c r="L1725" s="7" t="s">
        <v>40</v>
      </c>
      <c r="M1725" s="6" t="s">
        <v>356</v>
      </c>
      <c r="N1725" s="8" t="s">
        <v>5481</v>
      </c>
      <c r="O1725" s="6">
        <f>HYPERLINK("https://docs.wto.org/imrd/directdoc.asp?DDFDocuments/t/G/SPS/NTHA738.DOCX", "https://docs.wto.org/imrd/directdoc.asp?DDFDocuments/t/G/SPS/NTHA738.DOCX")</f>
      </c>
      <c r="P1725" s="6">
        <f>HYPERLINK("https://docs.wto.org/imrd/directdoc.asp?DDFDocuments/u/G/SPS/NTHA738.DOCX", "https://docs.wto.org/imrd/directdoc.asp?DDFDocuments/u/G/SPS/NTHA738.DOCX")</f>
      </c>
      <c r="Q1725" s="6">
        <f>HYPERLINK("https://docs.wto.org/imrd/directdoc.asp?DDFDocuments/v/G/SPS/NTHA738.DOCX", "https://docs.wto.org/imrd/directdoc.asp?DDFDocuments/v/G/SPS/NTHA738.DOCX")</f>
      </c>
    </row>
    <row r="1726">
      <c r="A1726" s="6" t="s">
        <v>70</v>
      </c>
      <c r="B1726" s="7">
        <v>45461</v>
      </c>
      <c r="C1726" s="6">
        <f>HYPERLINK("https://eping.wto.org/en/Search?viewData= G/TBT/N/UKR/301"," G/TBT/N/UKR/301")</f>
      </c>
      <c r="D1726" s="8" t="s">
        <v>5482</v>
      </c>
      <c r="E1726" s="8" t="s">
        <v>5483</v>
      </c>
      <c r="F1726" s="8" t="s">
        <v>5484</v>
      </c>
      <c r="G1726" s="6" t="s">
        <v>4955</v>
      </c>
      <c r="H1726" s="6" t="s">
        <v>93</v>
      </c>
      <c r="I1726" s="6" t="s">
        <v>4520</v>
      </c>
      <c r="J1726" s="6" t="s">
        <v>95</v>
      </c>
      <c r="K1726" s="6"/>
      <c r="L1726" s="7">
        <v>45521</v>
      </c>
      <c r="M1726" s="6" t="s">
        <v>25</v>
      </c>
      <c r="N1726" s="8" t="s">
        <v>5485</v>
      </c>
      <c r="O1726" s="6">
        <f>HYPERLINK("https://docs.wto.org/imrd/directdoc.asp?DDFDocuments/t/G/TBTN24/UKR301.DOCX", "https://docs.wto.org/imrd/directdoc.asp?DDFDocuments/t/G/TBTN24/UKR301.DOCX")</f>
      </c>
      <c r="P1726" s="6">
        <f>HYPERLINK("https://docs.wto.org/imrd/directdoc.asp?DDFDocuments/u/G/TBTN24/UKR301.DOCX", "https://docs.wto.org/imrd/directdoc.asp?DDFDocuments/u/G/TBTN24/UKR301.DOCX")</f>
      </c>
      <c r="Q1726" s="6">
        <f>HYPERLINK("https://docs.wto.org/imrd/directdoc.asp?DDFDocuments/v/G/TBTN24/UKR301.DOCX", "https://docs.wto.org/imrd/directdoc.asp?DDFDocuments/v/G/TBTN24/UKR301.DOCX")</f>
      </c>
    </row>
    <row r="1727">
      <c r="A1727" s="6" t="s">
        <v>515</v>
      </c>
      <c r="B1727" s="7">
        <v>45461</v>
      </c>
      <c r="C1727" s="6">
        <f>HYPERLINK("https://eping.wto.org/en/Search?viewData= G/TBT/N/EU/1069"," G/TBT/N/EU/1069")</f>
      </c>
      <c r="D1727" s="8" t="s">
        <v>5486</v>
      </c>
      <c r="E1727" s="8" t="s">
        <v>5487</v>
      </c>
      <c r="F1727" s="8" t="s">
        <v>1334</v>
      </c>
      <c r="G1727" s="6" t="s">
        <v>40</v>
      </c>
      <c r="H1727" s="6" t="s">
        <v>212</v>
      </c>
      <c r="I1727" s="6" t="s">
        <v>1335</v>
      </c>
      <c r="J1727" s="6" t="s">
        <v>95</v>
      </c>
      <c r="K1727" s="6"/>
      <c r="L1727" s="7">
        <v>45521</v>
      </c>
      <c r="M1727" s="6" t="s">
        <v>25</v>
      </c>
      <c r="N1727" s="8" t="s">
        <v>5488</v>
      </c>
      <c r="O1727" s="6">
        <f>HYPERLINK("https://docs.wto.org/imrd/directdoc.asp?DDFDocuments/t/G/TBTN24/EU1069.DOCX", "https://docs.wto.org/imrd/directdoc.asp?DDFDocuments/t/G/TBTN24/EU1069.DOCX")</f>
      </c>
      <c r="P1727" s="6">
        <f>HYPERLINK("https://docs.wto.org/imrd/directdoc.asp?DDFDocuments/u/G/TBTN24/EU1069.DOCX", "https://docs.wto.org/imrd/directdoc.asp?DDFDocuments/u/G/TBTN24/EU1069.DOCX")</f>
      </c>
      <c r="Q1727" s="6">
        <f>HYPERLINK("https://docs.wto.org/imrd/directdoc.asp?DDFDocuments/v/G/TBTN24/EU1069.DOCX", "https://docs.wto.org/imrd/directdoc.asp?DDFDocuments/v/G/TBTN24/EU1069.DOCX")</f>
      </c>
    </row>
    <row r="1728">
      <c r="A1728" s="6" t="s">
        <v>160</v>
      </c>
      <c r="B1728" s="7">
        <v>45460</v>
      </c>
      <c r="C1728" s="6">
        <f>HYPERLINK("https://eping.wto.org/en/Search?viewData= G/TBT/N/USA/2064/Add.3"," G/TBT/N/USA/2064/Add.3")</f>
      </c>
      <c r="D1728" s="8" t="s">
        <v>5489</v>
      </c>
      <c r="E1728" s="8" t="s">
        <v>5490</v>
      </c>
      <c r="F1728" s="8" t="s">
        <v>5491</v>
      </c>
      <c r="G1728" s="6" t="s">
        <v>40</v>
      </c>
      <c r="H1728" s="6" t="s">
        <v>5492</v>
      </c>
      <c r="I1728" s="6" t="s">
        <v>259</v>
      </c>
      <c r="J1728" s="6" t="s">
        <v>40</v>
      </c>
      <c r="K1728" s="6"/>
      <c r="L1728" s="7">
        <v>45471</v>
      </c>
      <c r="M1728" s="6" t="s">
        <v>76</v>
      </c>
      <c r="N1728" s="8" t="s">
        <v>5493</v>
      </c>
      <c r="O1728" s="6">
        <f>HYPERLINK("https://docs.wto.org/imrd/directdoc.asp?DDFDocuments/t/G/TBTN23/USA2064A3.DOCX", "https://docs.wto.org/imrd/directdoc.asp?DDFDocuments/t/G/TBTN23/USA2064A3.DOCX")</f>
      </c>
      <c r="P1728" s="6">
        <f>HYPERLINK("https://docs.wto.org/imrd/directdoc.asp?DDFDocuments/u/G/TBTN23/USA2064A3.DOCX", "https://docs.wto.org/imrd/directdoc.asp?DDFDocuments/u/G/TBTN23/USA2064A3.DOCX")</f>
      </c>
      <c r="Q1728" s="6">
        <f>HYPERLINK("https://docs.wto.org/imrd/directdoc.asp?DDFDocuments/v/G/TBTN23/USA2064A3.DOCX", "https://docs.wto.org/imrd/directdoc.asp?DDFDocuments/v/G/TBTN23/USA2064A3.DOCX")</f>
      </c>
    </row>
    <row r="1729">
      <c r="A1729" s="6" t="s">
        <v>419</v>
      </c>
      <c r="B1729" s="7">
        <v>45460</v>
      </c>
      <c r="C1729" s="6">
        <f>HYPERLINK("https://eping.wto.org/en/Search?viewData= G/SPS/N/JPN/1260/Add.1"," G/SPS/N/JPN/1260/Add.1")</f>
      </c>
      <c r="D1729" s="8" t="s">
        <v>5494</v>
      </c>
      <c r="E1729" s="8" t="s">
        <v>5495</v>
      </c>
      <c r="F1729" s="8" t="s">
        <v>5496</v>
      </c>
      <c r="G1729" s="6" t="s">
        <v>40</v>
      </c>
      <c r="H1729" s="6" t="s">
        <v>40</v>
      </c>
      <c r="I1729" s="6" t="s">
        <v>369</v>
      </c>
      <c r="J1729" s="6" t="s">
        <v>5497</v>
      </c>
      <c r="K1729" s="6"/>
      <c r="L1729" s="7" t="s">
        <v>40</v>
      </c>
      <c r="M1729" s="6" t="s">
        <v>76</v>
      </c>
      <c r="N1729" s="6"/>
      <c r="O1729" s="6">
        <f>HYPERLINK("https://docs.wto.org/imrd/directdoc.asp?DDFDocuments/t/G/SPS/NJPN1260A1.DOCX", "https://docs.wto.org/imrd/directdoc.asp?DDFDocuments/t/G/SPS/NJPN1260A1.DOCX")</f>
      </c>
      <c r="P1729" s="6">
        <f>HYPERLINK("https://docs.wto.org/imrd/directdoc.asp?DDFDocuments/u/G/SPS/NJPN1260A1.DOCX", "https://docs.wto.org/imrd/directdoc.asp?DDFDocuments/u/G/SPS/NJPN1260A1.DOCX")</f>
      </c>
      <c r="Q1729" s="6">
        <f>HYPERLINK("https://docs.wto.org/imrd/directdoc.asp?DDFDocuments/v/G/SPS/NJPN1260A1.DOCX", "https://docs.wto.org/imrd/directdoc.asp?DDFDocuments/v/G/SPS/NJPN1260A1.DOCX")</f>
      </c>
    </row>
    <row r="1730">
      <c r="A1730" s="6" t="s">
        <v>160</v>
      </c>
      <c r="B1730" s="7">
        <v>45460</v>
      </c>
      <c r="C1730" s="6">
        <f>HYPERLINK("https://eping.wto.org/en/Search?viewData= G/TBT/N/USA/2017/Add.3"," G/TBT/N/USA/2017/Add.3")</f>
      </c>
      <c r="D1730" s="8" t="s">
        <v>5046</v>
      </c>
      <c r="E1730" s="8" t="s">
        <v>5498</v>
      </c>
      <c r="F1730" s="8" t="s">
        <v>5048</v>
      </c>
      <c r="G1730" s="6" t="s">
        <v>40</v>
      </c>
      <c r="H1730" s="6" t="s">
        <v>5499</v>
      </c>
      <c r="I1730" s="6" t="s">
        <v>147</v>
      </c>
      <c r="J1730" s="6" t="s">
        <v>40</v>
      </c>
      <c r="K1730" s="6"/>
      <c r="L1730" s="7" t="s">
        <v>40</v>
      </c>
      <c r="M1730" s="6" t="s">
        <v>76</v>
      </c>
      <c r="N1730" s="8" t="s">
        <v>5500</v>
      </c>
      <c r="O1730" s="6">
        <f>HYPERLINK("https://docs.wto.org/imrd/directdoc.asp?DDFDocuments/t/G/TBTN23/USA2017A3.DOCX", "https://docs.wto.org/imrd/directdoc.asp?DDFDocuments/t/G/TBTN23/USA2017A3.DOCX")</f>
      </c>
      <c r="P1730" s="6">
        <f>HYPERLINK("https://docs.wto.org/imrd/directdoc.asp?DDFDocuments/u/G/TBTN23/USA2017A3.DOCX", "https://docs.wto.org/imrd/directdoc.asp?DDFDocuments/u/G/TBTN23/USA2017A3.DOCX")</f>
      </c>
      <c r="Q1730" s="6">
        <f>HYPERLINK("https://docs.wto.org/imrd/directdoc.asp?DDFDocuments/v/G/TBTN23/USA2017A3.DOCX", "https://docs.wto.org/imrd/directdoc.asp?DDFDocuments/v/G/TBTN23/USA2017A3.DOCX")</f>
      </c>
    </row>
    <row r="1731">
      <c r="A1731" s="6" t="s">
        <v>160</v>
      </c>
      <c r="B1731" s="7">
        <v>45460</v>
      </c>
      <c r="C1731" s="6">
        <f>HYPERLINK("https://eping.wto.org/en/Search?viewData= G/TBT/N/USA/2127"," G/TBT/N/USA/2127")</f>
      </c>
      <c r="D1731" s="8" t="s">
        <v>5501</v>
      </c>
      <c r="E1731" s="8" t="s">
        <v>5502</v>
      </c>
      <c r="F1731" s="8" t="s">
        <v>5503</v>
      </c>
      <c r="G1731" s="6" t="s">
        <v>40</v>
      </c>
      <c r="H1731" s="6" t="s">
        <v>5504</v>
      </c>
      <c r="I1731" s="6" t="s">
        <v>213</v>
      </c>
      <c r="J1731" s="6" t="s">
        <v>40</v>
      </c>
      <c r="K1731" s="6"/>
      <c r="L1731" s="7">
        <v>45502</v>
      </c>
      <c r="M1731" s="6" t="s">
        <v>25</v>
      </c>
      <c r="N1731" s="8" t="s">
        <v>5505</v>
      </c>
      <c r="O1731" s="6">
        <f>HYPERLINK("https://docs.wto.org/imrd/directdoc.asp?DDFDocuments/t/G/TBTN24/USA2127.DOCX", "https://docs.wto.org/imrd/directdoc.asp?DDFDocuments/t/G/TBTN24/USA2127.DOCX")</f>
      </c>
      <c r="P1731" s="6">
        <f>HYPERLINK("https://docs.wto.org/imrd/directdoc.asp?DDFDocuments/u/G/TBTN24/USA2127.DOCX", "https://docs.wto.org/imrd/directdoc.asp?DDFDocuments/u/G/TBTN24/USA2127.DOCX")</f>
      </c>
      <c r="Q1731" s="6">
        <f>HYPERLINK("https://docs.wto.org/imrd/directdoc.asp?DDFDocuments/v/G/TBTN24/USA2127.DOCX", "https://docs.wto.org/imrd/directdoc.asp?DDFDocuments/v/G/TBTN24/USA2127.DOCX")</f>
      </c>
    </row>
    <row r="1732">
      <c r="A1732" s="6" t="s">
        <v>239</v>
      </c>
      <c r="B1732" s="7">
        <v>45460</v>
      </c>
      <c r="C1732" s="6">
        <f>HYPERLINK("https://eping.wto.org/en/Search?viewData= G/TBT/N/VNM/309"," G/TBT/N/VNM/309")</f>
      </c>
      <c r="D1732" s="8" t="s">
        <v>5506</v>
      </c>
      <c r="E1732" s="8" t="s">
        <v>5507</v>
      </c>
      <c r="F1732" s="8" t="s">
        <v>5508</v>
      </c>
      <c r="G1732" s="6" t="s">
        <v>5509</v>
      </c>
      <c r="H1732" s="6" t="s">
        <v>2016</v>
      </c>
      <c r="I1732" s="6" t="s">
        <v>280</v>
      </c>
      <c r="J1732" s="6" t="s">
        <v>40</v>
      </c>
      <c r="K1732" s="6"/>
      <c r="L1732" s="7">
        <v>45520</v>
      </c>
      <c r="M1732" s="6" t="s">
        <v>25</v>
      </c>
      <c r="N1732" s="8" t="s">
        <v>5510</v>
      </c>
      <c r="O1732" s="6">
        <f>HYPERLINK("https://docs.wto.org/imrd/directdoc.asp?DDFDocuments/t/G/TBTN24/VNM309.DOCX", "https://docs.wto.org/imrd/directdoc.asp?DDFDocuments/t/G/TBTN24/VNM309.DOCX")</f>
      </c>
      <c r="P1732" s="6">
        <f>HYPERLINK("https://docs.wto.org/imrd/directdoc.asp?DDFDocuments/u/G/TBTN24/VNM309.DOCX", "https://docs.wto.org/imrd/directdoc.asp?DDFDocuments/u/G/TBTN24/VNM309.DOCX")</f>
      </c>
      <c r="Q1732" s="6">
        <f>HYPERLINK("https://docs.wto.org/imrd/directdoc.asp?DDFDocuments/v/G/TBTN24/VNM309.DOCX", "https://docs.wto.org/imrd/directdoc.asp?DDFDocuments/v/G/TBTN24/VNM309.DOCX")</f>
      </c>
    </row>
    <row r="1733">
      <c r="A1733" s="6" t="s">
        <v>160</v>
      </c>
      <c r="B1733" s="7">
        <v>45460</v>
      </c>
      <c r="C1733" s="6">
        <f>HYPERLINK("https://eping.wto.org/en/Search?viewData= G/TBT/N/USA/1336/Rev.1/Add.1"," G/TBT/N/USA/1336/Rev.1/Add.1")</f>
      </c>
      <c r="D1733" s="8" t="s">
        <v>1356</v>
      </c>
      <c r="E1733" s="8" t="s">
        <v>5511</v>
      </c>
      <c r="F1733" s="8" t="s">
        <v>1358</v>
      </c>
      <c r="G1733" s="6" t="s">
        <v>40</v>
      </c>
      <c r="H1733" s="6" t="s">
        <v>1359</v>
      </c>
      <c r="I1733" s="6" t="s">
        <v>993</v>
      </c>
      <c r="J1733" s="6" t="s">
        <v>40</v>
      </c>
      <c r="K1733" s="6"/>
      <c r="L1733" s="7">
        <v>45471</v>
      </c>
      <c r="M1733" s="6" t="s">
        <v>76</v>
      </c>
      <c r="N1733" s="8" t="s">
        <v>5512</v>
      </c>
      <c r="O1733" s="6">
        <f>HYPERLINK("https://docs.wto.org/imrd/directdoc.asp?DDFDocuments/t/G/TBTN18/USA1336R1A1.DOCX", "https://docs.wto.org/imrd/directdoc.asp?DDFDocuments/t/G/TBTN18/USA1336R1A1.DOCX")</f>
      </c>
      <c r="P1733" s="6">
        <f>HYPERLINK("https://docs.wto.org/imrd/directdoc.asp?DDFDocuments/u/G/TBTN18/USA1336R1A1.DOCX", "https://docs.wto.org/imrd/directdoc.asp?DDFDocuments/u/G/TBTN18/USA1336R1A1.DOCX")</f>
      </c>
      <c r="Q1733" s="6">
        <f>HYPERLINK("https://docs.wto.org/imrd/directdoc.asp?DDFDocuments/v/G/TBTN18/USA1336R1A1.DOCX", "https://docs.wto.org/imrd/directdoc.asp?DDFDocuments/v/G/TBTN18/USA1336R1A1.DOCX")</f>
      </c>
    </row>
    <row r="1734">
      <c r="A1734" s="6" t="s">
        <v>89</v>
      </c>
      <c r="B1734" s="7">
        <v>45460</v>
      </c>
      <c r="C1734" s="6">
        <f>HYPERLINK("https://eping.wto.org/en/Search?viewData= G/TBT/N/ECU/536"," G/TBT/N/ECU/536")</f>
      </c>
      <c r="D1734" s="8" t="s">
        <v>5513</v>
      </c>
      <c r="E1734" s="8" t="s">
        <v>5514</v>
      </c>
      <c r="F1734" s="8" t="s">
        <v>5515</v>
      </c>
      <c r="G1734" s="6" t="s">
        <v>5516</v>
      </c>
      <c r="H1734" s="6" t="s">
        <v>5517</v>
      </c>
      <c r="I1734" s="6" t="s">
        <v>94</v>
      </c>
      <c r="J1734" s="6" t="s">
        <v>40</v>
      </c>
      <c r="K1734" s="6"/>
      <c r="L1734" s="7">
        <v>45520</v>
      </c>
      <c r="M1734" s="6" t="s">
        <v>25</v>
      </c>
      <c r="N1734" s="8" t="s">
        <v>5518</v>
      </c>
      <c r="O1734" s="6">
        <f>HYPERLINK("https://docs.wto.org/imrd/directdoc.asp?DDFDocuments/t/G/TBTN24/ECU536.DOCX", "https://docs.wto.org/imrd/directdoc.asp?DDFDocuments/t/G/TBTN24/ECU536.DOCX")</f>
      </c>
      <c r="P1734" s="6">
        <f>HYPERLINK("https://docs.wto.org/imrd/directdoc.asp?DDFDocuments/u/G/TBTN24/ECU536.DOCX", "https://docs.wto.org/imrd/directdoc.asp?DDFDocuments/u/G/TBTN24/ECU536.DOCX")</f>
      </c>
      <c r="Q1734" s="6">
        <f>HYPERLINK("https://docs.wto.org/imrd/directdoc.asp?DDFDocuments/v/G/TBTN24/ECU536.DOCX", "https://docs.wto.org/imrd/directdoc.asp?DDFDocuments/v/G/TBTN24/ECU536.DOCX")</f>
      </c>
    </row>
    <row r="1735">
      <c r="A1735" s="6" t="s">
        <v>115</v>
      </c>
      <c r="B1735" s="7">
        <v>45457</v>
      </c>
      <c r="C1735" s="6">
        <f>HYPERLINK("https://eping.wto.org/en/Search?viewData= G/TBT/N/BRA/1505/Add.1"," G/TBT/N/BRA/1505/Add.1")</f>
      </c>
      <c r="D1735" s="8" t="s">
        <v>5519</v>
      </c>
      <c r="E1735" s="8" t="s">
        <v>5520</v>
      </c>
      <c r="F1735" s="8" t="s">
        <v>5521</v>
      </c>
      <c r="G1735" s="6" t="s">
        <v>40</v>
      </c>
      <c r="H1735" s="6" t="s">
        <v>5522</v>
      </c>
      <c r="I1735" s="6" t="s">
        <v>147</v>
      </c>
      <c r="J1735" s="6" t="s">
        <v>154</v>
      </c>
      <c r="K1735" s="6"/>
      <c r="L1735" s="7" t="s">
        <v>40</v>
      </c>
      <c r="M1735" s="6" t="s">
        <v>76</v>
      </c>
      <c r="N1735" s="6"/>
      <c r="O1735" s="6">
        <f>HYPERLINK("https://docs.wto.org/imrd/directdoc.asp?DDFDocuments/t/G/TBTN23/BRA1505A1.DOCX", "https://docs.wto.org/imrd/directdoc.asp?DDFDocuments/t/G/TBTN23/BRA1505A1.DOCX")</f>
      </c>
      <c r="P1735" s="6">
        <f>HYPERLINK("https://docs.wto.org/imrd/directdoc.asp?DDFDocuments/u/G/TBTN23/BRA1505A1.DOCX", "https://docs.wto.org/imrd/directdoc.asp?DDFDocuments/u/G/TBTN23/BRA1505A1.DOCX")</f>
      </c>
      <c r="Q1735" s="6">
        <f>HYPERLINK("https://docs.wto.org/imrd/directdoc.asp?DDFDocuments/v/G/TBTN23/BRA1505A1.DOCX", "https://docs.wto.org/imrd/directdoc.asp?DDFDocuments/v/G/TBTN23/BRA1505A1.DOCX")</f>
      </c>
    </row>
    <row r="1736">
      <c r="A1736" s="6" t="s">
        <v>115</v>
      </c>
      <c r="B1736" s="7">
        <v>45457</v>
      </c>
      <c r="C1736" s="6">
        <f>HYPERLINK("https://eping.wto.org/en/Search?viewData= G/TBT/N/BRA/1033/Add.2"," G/TBT/N/BRA/1033/Add.2")</f>
      </c>
      <c r="D1736" s="8" t="s">
        <v>651</v>
      </c>
      <c r="E1736" s="8" t="s">
        <v>5523</v>
      </c>
      <c r="F1736" s="8" t="s">
        <v>653</v>
      </c>
      <c r="G1736" s="6" t="s">
        <v>5524</v>
      </c>
      <c r="H1736" s="6" t="s">
        <v>655</v>
      </c>
      <c r="I1736" s="6" t="s">
        <v>147</v>
      </c>
      <c r="J1736" s="6" t="s">
        <v>154</v>
      </c>
      <c r="K1736" s="6"/>
      <c r="L1736" s="7" t="s">
        <v>40</v>
      </c>
      <c r="M1736" s="6" t="s">
        <v>76</v>
      </c>
      <c r="N1736" s="8" t="s">
        <v>5525</v>
      </c>
      <c r="O1736" s="6">
        <f>HYPERLINK("https://docs.wto.org/imrd/directdoc.asp?DDFDocuments/t/G/TBTN20/BRA1033A2.DOCX", "https://docs.wto.org/imrd/directdoc.asp?DDFDocuments/t/G/TBTN20/BRA1033A2.DOCX")</f>
      </c>
      <c r="P1736" s="6">
        <f>HYPERLINK("https://docs.wto.org/imrd/directdoc.asp?DDFDocuments/u/G/TBTN20/BRA1033A2.DOCX", "https://docs.wto.org/imrd/directdoc.asp?DDFDocuments/u/G/TBTN20/BRA1033A2.DOCX")</f>
      </c>
      <c r="Q1736" s="6">
        <f>HYPERLINK("https://docs.wto.org/imrd/directdoc.asp?DDFDocuments/v/G/TBTN20/BRA1033A2.DOCX", "https://docs.wto.org/imrd/directdoc.asp?DDFDocuments/v/G/TBTN20/BRA1033A2.DOCX")</f>
      </c>
    </row>
    <row r="1737">
      <c r="A1737" s="6" t="s">
        <v>401</v>
      </c>
      <c r="B1737" s="7">
        <v>45457</v>
      </c>
      <c r="C1737" s="6">
        <f>HYPERLINK("https://eping.wto.org/en/Search?viewData= G/TBT/N/KOR/1213"," G/TBT/N/KOR/1213")</f>
      </c>
      <c r="D1737" s="8" t="s">
        <v>5526</v>
      </c>
      <c r="E1737" s="8" t="s">
        <v>5527</v>
      </c>
      <c r="F1737" s="8" t="s">
        <v>2787</v>
      </c>
      <c r="G1737" s="6" t="s">
        <v>40</v>
      </c>
      <c r="H1737" s="6" t="s">
        <v>40</v>
      </c>
      <c r="I1737" s="6" t="s">
        <v>147</v>
      </c>
      <c r="J1737" s="6" t="s">
        <v>95</v>
      </c>
      <c r="K1737" s="6"/>
      <c r="L1737" s="7">
        <v>45517</v>
      </c>
      <c r="M1737" s="6" t="s">
        <v>25</v>
      </c>
      <c r="N1737" s="8" t="s">
        <v>5528</v>
      </c>
      <c r="O1737" s="6">
        <f>HYPERLINK("https://docs.wto.org/imrd/directdoc.asp?DDFDocuments/t/G/TBTN24/KOR1213.DOCX", "https://docs.wto.org/imrd/directdoc.asp?DDFDocuments/t/G/TBTN24/KOR1213.DOCX")</f>
      </c>
      <c r="P1737" s="6">
        <f>HYPERLINK("https://docs.wto.org/imrd/directdoc.asp?DDFDocuments/u/G/TBTN24/KOR1213.DOCX", "https://docs.wto.org/imrd/directdoc.asp?DDFDocuments/u/G/TBTN24/KOR1213.DOCX")</f>
      </c>
      <c r="Q1737" s="6">
        <f>HYPERLINK("https://docs.wto.org/imrd/directdoc.asp?DDFDocuments/v/G/TBTN24/KOR1213.DOCX", "https://docs.wto.org/imrd/directdoc.asp?DDFDocuments/v/G/TBTN24/KOR1213.DOCX")</f>
      </c>
    </row>
    <row r="1738">
      <c r="A1738" s="6" t="s">
        <v>160</v>
      </c>
      <c r="B1738" s="7">
        <v>45457</v>
      </c>
      <c r="C1738" s="6">
        <f>HYPERLINK("https://eping.wto.org/en/Search?viewData= G/TBT/N/USA/2126"," G/TBT/N/USA/2126")</f>
      </c>
      <c r="D1738" s="8" t="s">
        <v>5529</v>
      </c>
      <c r="E1738" s="8" t="s">
        <v>5530</v>
      </c>
      <c r="F1738" s="8" t="s">
        <v>5531</v>
      </c>
      <c r="G1738" s="6" t="s">
        <v>40</v>
      </c>
      <c r="H1738" s="6" t="s">
        <v>3904</v>
      </c>
      <c r="I1738" s="6" t="s">
        <v>147</v>
      </c>
      <c r="J1738" s="6" t="s">
        <v>40</v>
      </c>
      <c r="K1738" s="6"/>
      <c r="L1738" s="7">
        <v>45516</v>
      </c>
      <c r="M1738" s="6" t="s">
        <v>25</v>
      </c>
      <c r="N1738" s="8" t="s">
        <v>5532</v>
      </c>
      <c r="O1738" s="6">
        <f>HYPERLINK("https://docs.wto.org/imrd/directdoc.asp?DDFDocuments/t/G/TBTN24/USA2126.DOCX", "https://docs.wto.org/imrd/directdoc.asp?DDFDocuments/t/G/TBTN24/USA2126.DOCX")</f>
      </c>
      <c r="P1738" s="6">
        <f>HYPERLINK("https://docs.wto.org/imrd/directdoc.asp?DDFDocuments/u/G/TBTN24/USA2126.DOCX", "https://docs.wto.org/imrd/directdoc.asp?DDFDocuments/u/G/TBTN24/USA2126.DOCX")</f>
      </c>
      <c r="Q1738" s="6">
        <f>HYPERLINK("https://docs.wto.org/imrd/directdoc.asp?DDFDocuments/v/G/TBTN24/USA2126.DOCX", "https://docs.wto.org/imrd/directdoc.asp?DDFDocuments/v/G/TBTN24/USA2126.DOCX")</f>
      </c>
    </row>
    <row r="1739">
      <c r="A1739" s="6" t="s">
        <v>239</v>
      </c>
      <c r="B1739" s="7">
        <v>45457</v>
      </c>
      <c r="C1739" s="6">
        <f>HYPERLINK("https://eping.wto.org/en/Search?viewData= G/TBT/N/VNM/300"," G/TBT/N/VNM/300")</f>
      </c>
      <c r="D1739" s="8" t="s">
        <v>5533</v>
      </c>
      <c r="E1739" s="8" t="s">
        <v>5534</v>
      </c>
      <c r="F1739" s="8" t="s">
        <v>5535</v>
      </c>
      <c r="G1739" s="6" t="s">
        <v>5536</v>
      </c>
      <c r="H1739" s="6" t="s">
        <v>40</v>
      </c>
      <c r="I1739" s="6" t="s">
        <v>280</v>
      </c>
      <c r="J1739" s="6" t="s">
        <v>40</v>
      </c>
      <c r="K1739" s="6"/>
      <c r="L1739" s="7">
        <v>45517</v>
      </c>
      <c r="M1739" s="6" t="s">
        <v>25</v>
      </c>
      <c r="N1739" s="8" t="s">
        <v>5537</v>
      </c>
      <c r="O1739" s="6">
        <f>HYPERLINK("https://docs.wto.org/imrd/directdoc.asp?DDFDocuments/t/G/TBTN24/VNM300.DOCX", "https://docs.wto.org/imrd/directdoc.asp?DDFDocuments/t/G/TBTN24/VNM300.DOCX")</f>
      </c>
      <c r="P1739" s="6">
        <f>HYPERLINK("https://docs.wto.org/imrd/directdoc.asp?DDFDocuments/u/G/TBTN24/VNM300.DOCX", "https://docs.wto.org/imrd/directdoc.asp?DDFDocuments/u/G/TBTN24/VNM300.DOCX")</f>
      </c>
      <c r="Q1739" s="6">
        <f>HYPERLINK("https://docs.wto.org/imrd/directdoc.asp?DDFDocuments/v/G/TBTN24/VNM300.DOCX", "https://docs.wto.org/imrd/directdoc.asp?DDFDocuments/v/G/TBTN24/VNM300.DOCX")</f>
      </c>
    </row>
    <row r="1740">
      <c r="A1740" s="6" t="s">
        <v>198</v>
      </c>
      <c r="B1740" s="7">
        <v>45457</v>
      </c>
      <c r="C1740" s="6">
        <f>HYPERLINK("https://eping.wto.org/en/Search?viewData= G/TBT/N/CHL/683"," G/TBT/N/CHL/683")</f>
      </c>
      <c r="D1740" s="8" t="s">
        <v>5538</v>
      </c>
      <c r="E1740" s="8" t="s">
        <v>5539</v>
      </c>
      <c r="F1740" s="8" t="s">
        <v>5540</v>
      </c>
      <c r="G1740" s="6" t="s">
        <v>40</v>
      </c>
      <c r="H1740" s="6" t="s">
        <v>40</v>
      </c>
      <c r="I1740" s="6" t="s">
        <v>147</v>
      </c>
      <c r="J1740" s="6" t="s">
        <v>40</v>
      </c>
      <c r="K1740" s="6"/>
      <c r="L1740" s="7">
        <v>45517</v>
      </c>
      <c r="M1740" s="6" t="s">
        <v>25</v>
      </c>
      <c r="N1740" s="8" t="s">
        <v>5541</v>
      </c>
      <c r="O1740" s="6">
        <f>HYPERLINK("https://docs.wto.org/imrd/directdoc.asp?DDFDocuments/t/G/TBTN24/CHL683.DOCX", "https://docs.wto.org/imrd/directdoc.asp?DDFDocuments/t/G/TBTN24/CHL683.DOCX")</f>
      </c>
      <c r="P1740" s="6">
        <f>HYPERLINK("https://docs.wto.org/imrd/directdoc.asp?DDFDocuments/u/G/TBTN24/CHL683.DOCX", "https://docs.wto.org/imrd/directdoc.asp?DDFDocuments/u/G/TBTN24/CHL683.DOCX")</f>
      </c>
      <c r="Q1740" s="6">
        <f>HYPERLINK("https://docs.wto.org/imrd/directdoc.asp?DDFDocuments/v/G/TBTN24/CHL683.DOCX", "https://docs.wto.org/imrd/directdoc.asp?DDFDocuments/v/G/TBTN24/CHL683.DOCX")</f>
      </c>
    </row>
    <row r="1741">
      <c r="A1741" s="6" t="s">
        <v>239</v>
      </c>
      <c r="B1741" s="7">
        <v>45457</v>
      </c>
      <c r="C1741" s="6">
        <f>HYPERLINK("https://eping.wto.org/en/Search?viewData= G/TBT/N/VNM/299"," G/TBT/N/VNM/299")</f>
      </c>
      <c r="D1741" s="8" t="s">
        <v>5542</v>
      </c>
      <c r="E1741" s="8" t="s">
        <v>5543</v>
      </c>
      <c r="F1741" s="8" t="s">
        <v>5535</v>
      </c>
      <c r="G1741" s="6" t="s">
        <v>5536</v>
      </c>
      <c r="H1741" s="6" t="s">
        <v>40</v>
      </c>
      <c r="I1741" s="6" t="s">
        <v>280</v>
      </c>
      <c r="J1741" s="6" t="s">
        <v>40</v>
      </c>
      <c r="K1741" s="6"/>
      <c r="L1741" s="7">
        <v>45517</v>
      </c>
      <c r="M1741" s="6" t="s">
        <v>25</v>
      </c>
      <c r="N1741" s="8" t="s">
        <v>5544</v>
      </c>
      <c r="O1741" s="6">
        <f>HYPERLINK("https://docs.wto.org/imrd/directdoc.asp?DDFDocuments/t/G/TBTN24/VNM299.DOCX", "https://docs.wto.org/imrd/directdoc.asp?DDFDocuments/t/G/TBTN24/VNM299.DOCX")</f>
      </c>
      <c r="P1741" s="6">
        <f>HYPERLINK("https://docs.wto.org/imrd/directdoc.asp?DDFDocuments/u/G/TBTN24/VNM299.DOCX", "https://docs.wto.org/imrd/directdoc.asp?DDFDocuments/u/G/TBTN24/VNM299.DOCX")</f>
      </c>
      <c r="Q1741" s="6">
        <f>HYPERLINK("https://docs.wto.org/imrd/directdoc.asp?DDFDocuments/v/G/TBTN24/VNM299.DOCX", "https://docs.wto.org/imrd/directdoc.asp?DDFDocuments/v/G/TBTN24/VNM299.DOCX")</f>
      </c>
    </row>
    <row r="1742">
      <c r="A1742" s="6" t="s">
        <v>239</v>
      </c>
      <c r="B1742" s="7">
        <v>45457</v>
      </c>
      <c r="C1742" s="6">
        <f>HYPERLINK("https://eping.wto.org/en/Search?viewData= G/TBT/N/VNM/305"," G/TBT/N/VNM/305")</f>
      </c>
      <c r="D1742" s="8" t="s">
        <v>5545</v>
      </c>
      <c r="E1742" s="8" t="s">
        <v>5546</v>
      </c>
      <c r="F1742" s="8" t="s">
        <v>5535</v>
      </c>
      <c r="G1742" s="6" t="s">
        <v>5536</v>
      </c>
      <c r="H1742" s="6" t="s">
        <v>40</v>
      </c>
      <c r="I1742" s="6" t="s">
        <v>280</v>
      </c>
      <c r="J1742" s="6" t="s">
        <v>40</v>
      </c>
      <c r="K1742" s="6"/>
      <c r="L1742" s="7">
        <v>45517</v>
      </c>
      <c r="M1742" s="6" t="s">
        <v>25</v>
      </c>
      <c r="N1742" s="8" t="s">
        <v>5547</v>
      </c>
      <c r="O1742" s="6">
        <f>HYPERLINK("https://docs.wto.org/imrd/directdoc.asp?DDFDocuments/t/G/TBTN24/VNM305.DOCX", "https://docs.wto.org/imrd/directdoc.asp?DDFDocuments/t/G/TBTN24/VNM305.DOCX")</f>
      </c>
      <c r="P1742" s="6">
        <f>HYPERLINK("https://docs.wto.org/imrd/directdoc.asp?DDFDocuments/u/G/TBTN24/VNM305.DOCX", "https://docs.wto.org/imrd/directdoc.asp?DDFDocuments/u/G/TBTN24/VNM305.DOCX")</f>
      </c>
      <c r="Q1742" s="6">
        <f>HYPERLINK("https://docs.wto.org/imrd/directdoc.asp?DDFDocuments/v/G/TBTN24/VNM305.DOCX", "https://docs.wto.org/imrd/directdoc.asp?DDFDocuments/v/G/TBTN24/VNM305.DOCX")</f>
      </c>
    </row>
    <row r="1743">
      <c r="A1743" s="6" t="s">
        <v>198</v>
      </c>
      <c r="B1743" s="7">
        <v>45457</v>
      </c>
      <c r="C1743" s="6">
        <f>HYPERLINK("https://eping.wto.org/en/Search?viewData= G/TBT/N/CHL/682"," G/TBT/N/CHL/682")</f>
      </c>
      <c r="D1743" s="8" t="s">
        <v>5548</v>
      </c>
      <c r="E1743" s="8" t="s">
        <v>5549</v>
      </c>
      <c r="F1743" s="8" t="s">
        <v>5550</v>
      </c>
      <c r="G1743" s="6" t="s">
        <v>40</v>
      </c>
      <c r="H1743" s="6" t="s">
        <v>40</v>
      </c>
      <c r="I1743" s="6" t="s">
        <v>147</v>
      </c>
      <c r="J1743" s="6" t="s">
        <v>40</v>
      </c>
      <c r="K1743" s="6"/>
      <c r="L1743" s="7">
        <v>45517</v>
      </c>
      <c r="M1743" s="6" t="s">
        <v>25</v>
      </c>
      <c r="N1743" s="8" t="s">
        <v>5551</v>
      </c>
      <c r="O1743" s="6">
        <f>HYPERLINK("https://docs.wto.org/imrd/directdoc.asp?DDFDocuments/t/G/TBTN24/CHL682.DOCX", "https://docs.wto.org/imrd/directdoc.asp?DDFDocuments/t/G/TBTN24/CHL682.DOCX")</f>
      </c>
      <c r="P1743" s="6">
        <f>HYPERLINK("https://docs.wto.org/imrd/directdoc.asp?DDFDocuments/u/G/TBTN24/CHL682.DOCX", "https://docs.wto.org/imrd/directdoc.asp?DDFDocuments/u/G/TBTN24/CHL682.DOCX")</f>
      </c>
      <c r="Q1743" s="6">
        <f>HYPERLINK("https://docs.wto.org/imrd/directdoc.asp?DDFDocuments/v/G/TBTN24/CHL682.DOCX", "https://docs.wto.org/imrd/directdoc.asp?DDFDocuments/v/G/TBTN24/CHL682.DOCX")</f>
      </c>
    </row>
    <row r="1744">
      <c r="A1744" s="6" t="s">
        <v>450</v>
      </c>
      <c r="B1744" s="7">
        <v>45457</v>
      </c>
      <c r="C1744" s="6">
        <f>HYPERLINK("https://eping.wto.org/en/Search?viewData= G/TBT/N/EGY/479"," G/TBT/N/EGY/479")</f>
      </c>
      <c r="D1744" s="8" t="s">
        <v>5552</v>
      </c>
      <c r="E1744" s="8" t="s">
        <v>5553</v>
      </c>
      <c r="F1744" s="8" t="s">
        <v>5554</v>
      </c>
      <c r="G1744" s="6" t="s">
        <v>40</v>
      </c>
      <c r="H1744" s="6" t="s">
        <v>5555</v>
      </c>
      <c r="I1744" s="6" t="s">
        <v>245</v>
      </c>
      <c r="J1744" s="6" t="s">
        <v>40</v>
      </c>
      <c r="K1744" s="6"/>
      <c r="L1744" s="7">
        <v>45517</v>
      </c>
      <c r="M1744" s="6" t="s">
        <v>25</v>
      </c>
      <c r="N1744" s="6"/>
      <c r="O1744" s="6">
        <f>HYPERLINK("https://docs.wto.org/imrd/directdoc.asp?DDFDocuments/t/G/TBTN24/EGY479.DOCX", "https://docs.wto.org/imrd/directdoc.asp?DDFDocuments/t/G/TBTN24/EGY479.DOCX")</f>
      </c>
      <c r="P1744" s="6">
        <f>HYPERLINK("https://docs.wto.org/imrd/directdoc.asp?DDFDocuments/u/G/TBTN24/EGY479.DOCX", "https://docs.wto.org/imrd/directdoc.asp?DDFDocuments/u/G/TBTN24/EGY479.DOCX")</f>
      </c>
      <c r="Q1744" s="6">
        <f>HYPERLINK("https://docs.wto.org/imrd/directdoc.asp?DDFDocuments/v/G/TBTN24/EGY479.DOCX", "https://docs.wto.org/imrd/directdoc.asp?DDFDocuments/v/G/TBTN24/EGY479.DOCX")</f>
      </c>
    </row>
    <row r="1745">
      <c r="A1745" s="6" t="s">
        <v>584</v>
      </c>
      <c r="B1745" s="7">
        <v>45457</v>
      </c>
      <c r="C1745" s="6">
        <f>HYPERLINK("https://eping.wto.org/en/Search?viewData= G/TBT/N/GBR/90"," G/TBT/N/GBR/90")</f>
      </c>
      <c r="D1745" s="8" t="s">
        <v>5556</v>
      </c>
      <c r="E1745" s="8" t="s">
        <v>5557</v>
      </c>
      <c r="F1745" s="8" t="s">
        <v>5558</v>
      </c>
      <c r="G1745" s="6" t="s">
        <v>5559</v>
      </c>
      <c r="H1745" s="6" t="s">
        <v>40</v>
      </c>
      <c r="I1745" s="6" t="s">
        <v>165</v>
      </c>
      <c r="J1745" s="6" t="s">
        <v>40</v>
      </c>
      <c r="K1745" s="6"/>
      <c r="L1745" s="7">
        <v>45517</v>
      </c>
      <c r="M1745" s="6" t="s">
        <v>25</v>
      </c>
      <c r="N1745" s="8" t="s">
        <v>5560</v>
      </c>
      <c r="O1745" s="6">
        <f>HYPERLINK("https://docs.wto.org/imrd/directdoc.asp?DDFDocuments/t/G/TBTN24/GBR90.DOCX", "https://docs.wto.org/imrd/directdoc.asp?DDFDocuments/t/G/TBTN24/GBR90.DOCX")</f>
      </c>
      <c r="P1745" s="6">
        <f>HYPERLINK("https://docs.wto.org/imrd/directdoc.asp?DDFDocuments/u/G/TBTN24/GBR90.DOCX", "https://docs.wto.org/imrd/directdoc.asp?DDFDocuments/u/G/TBTN24/GBR90.DOCX")</f>
      </c>
      <c r="Q1745" s="6">
        <f>HYPERLINK("https://docs.wto.org/imrd/directdoc.asp?DDFDocuments/v/G/TBTN24/GBR90.DOCX", "https://docs.wto.org/imrd/directdoc.asp?DDFDocuments/v/G/TBTN24/GBR90.DOCX")</f>
      </c>
    </row>
    <row r="1746">
      <c r="A1746" s="6" t="s">
        <v>115</v>
      </c>
      <c r="B1746" s="7">
        <v>45457</v>
      </c>
      <c r="C1746" s="6">
        <f>HYPERLINK("https://eping.wto.org/en/Search?viewData= G/SPS/N/BRA/2308"," G/SPS/N/BRA/2308")</f>
      </c>
      <c r="D1746" s="8" t="s">
        <v>5561</v>
      </c>
      <c r="E1746" s="8" t="s">
        <v>5562</v>
      </c>
      <c r="F1746" s="8" t="s">
        <v>233</v>
      </c>
      <c r="G1746" s="6" t="s">
        <v>40</v>
      </c>
      <c r="H1746" s="6" t="s">
        <v>234</v>
      </c>
      <c r="I1746" s="6" t="s">
        <v>38</v>
      </c>
      <c r="J1746" s="6" t="s">
        <v>60</v>
      </c>
      <c r="K1746" s="6"/>
      <c r="L1746" s="7">
        <v>45514</v>
      </c>
      <c r="M1746" s="6" t="s">
        <v>25</v>
      </c>
      <c r="N1746" s="8" t="s">
        <v>5563</v>
      </c>
      <c r="O1746" s="6">
        <f>HYPERLINK("https://docs.wto.org/imrd/directdoc.asp?DDFDocuments/t/G/SPS/NBRA2308.DOCX", "https://docs.wto.org/imrd/directdoc.asp?DDFDocuments/t/G/SPS/NBRA2308.DOCX")</f>
      </c>
      <c r="P1746" s="6">
        <f>HYPERLINK("https://docs.wto.org/imrd/directdoc.asp?DDFDocuments/u/G/SPS/NBRA2308.DOCX", "https://docs.wto.org/imrd/directdoc.asp?DDFDocuments/u/G/SPS/NBRA2308.DOCX")</f>
      </c>
      <c r="Q1746" s="6">
        <f>HYPERLINK("https://docs.wto.org/imrd/directdoc.asp?DDFDocuments/v/G/SPS/NBRA2308.DOCX", "https://docs.wto.org/imrd/directdoc.asp?DDFDocuments/v/G/SPS/NBRA2308.DOCX")</f>
      </c>
    </row>
    <row r="1747">
      <c r="A1747" s="6" t="s">
        <v>89</v>
      </c>
      <c r="B1747" s="7">
        <v>45457</v>
      </c>
      <c r="C1747" s="6">
        <f>HYPERLINK("https://eping.wto.org/en/Search?viewData= G/TBT/N/ECU/535"," G/TBT/N/ECU/535")</f>
      </c>
      <c r="D1747" s="8" t="s">
        <v>5564</v>
      </c>
      <c r="E1747" s="8" t="s">
        <v>5565</v>
      </c>
      <c r="F1747" s="8" t="s">
        <v>5566</v>
      </c>
      <c r="G1747" s="6" t="s">
        <v>5567</v>
      </c>
      <c r="H1747" s="6" t="s">
        <v>40</v>
      </c>
      <c r="I1747" s="6" t="s">
        <v>94</v>
      </c>
      <c r="J1747" s="6" t="s">
        <v>40</v>
      </c>
      <c r="K1747" s="6"/>
      <c r="L1747" s="7">
        <v>45517</v>
      </c>
      <c r="M1747" s="6" t="s">
        <v>25</v>
      </c>
      <c r="N1747" s="8" t="s">
        <v>5568</v>
      </c>
      <c r="O1747" s="6">
        <f>HYPERLINK("https://docs.wto.org/imrd/directdoc.asp?DDFDocuments/t/G/TBTN24/ECU535.DOCX", "https://docs.wto.org/imrd/directdoc.asp?DDFDocuments/t/G/TBTN24/ECU535.DOCX")</f>
      </c>
      <c r="P1747" s="6">
        <f>HYPERLINK("https://docs.wto.org/imrd/directdoc.asp?DDFDocuments/u/G/TBTN24/ECU535.DOCX", "https://docs.wto.org/imrd/directdoc.asp?DDFDocuments/u/G/TBTN24/ECU535.DOCX")</f>
      </c>
      <c r="Q1747" s="6">
        <f>HYPERLINK("https://docs.wto.org/imrd/directdoc.asp?DDFDocuments/v/G/TBTN24/ECU535.DOCX", "https://docs.wto.org/imrd/directdoc.asp?DDFDocuments/v/G/TBTN24/ECU535.DOCX")</f>
      </c>
    </row>
    <row r="1748">
      <c r="A1748" s="6" t="s">
        <v>239</v>
      </c>
      <c r="B1748" s="7">
        <v>45457</v>
      </c>
      <c r="C1748" s="6">
        <f>HYPERLINK("https://eping.wto.org/en/Search?viewData= G/TBT/N/VNM/303"," G/TBT/N/VNM/303")</f>
      </c>
      <c r="D1748" s="8" t="s">
        <v>5569</v>
      </c>
      <c r="E1748" s="8" t="s">
        <v>5570</v>
      </c>
      <c r="F1748" s="8" t="s">
        <v>5535</v>
      </c>
      <c r="G1748" s="6" t="s">
        <v>5536</v>
      </c>
      <c r="H1748" s="6" t="s">
        <v>40</v>
      </c>
      <c r="I1748" s="6" t="s">
        <v>280</v>
      </c>
      <c r="J1748" s="6" t="s">
        <v>40</v>
      </c>
      <c r="K1748" s="6"/>
      <c r="L1748" s="7">
        <v>45517</v>
      </c>
      <c r="M1748" s="6" t="s">
        <v>25</v>
      </c>
      <c r="N1748" s="8" t="s">
        <v>5571</v>
      </c>
      <c r="O1748" s="6">
        <f>HYPERLINK("https://docs.wto.org/imrd/directdoc.asp?DDFDocuments/t/G/TBTN24/VNM303.DOCX", "https://docs.wto.org/imrd/directdoc.asp?DDFDocuments/t/G/TBTN24/VNM303.DOCX")</f>
      </c>
      <c r="P1748" s="6">
        <f>HYPERLINK("https://docs.wto.org/imrd/directdoc.asp?DDFDocuments/u/G/TBTN24/VNM303.DOCX", "https://docs.wto.org/imrd/directdoc.asp?DDFDocuments/u/G/TBTN24/VNM303.DOCX")</f>
      </c>
      <c r="Q1748" s="6">
        <f>HYPERLINK("https://docs.wto.org/imrd/directdoc.asp?DDFDocuments/v/G/TBTN24/VNM303.DOCX", "https://docs.wto.org/imrd/directdoc.asp?DDFDocuments/v/G/TBTN24/VNM303.DOCX")</f>
      </c>
    </row>
    <row r="1749">
      <c r="A1749" s="6" t="s">
        <v>442</v>
      </c>
      <c r="B1749" s="7">
        <v>45457</v>
      </c>
      <c r="C1749" s="6">
        <f>HYPERLINK("https://eping.wto.org/en/Search?viewData= G/TBT/N/MEX/279/Add.5"," G/TBT/N/MEX/279/Add.5")</f>
      </c>
      <c r="D1749" s="8" t="s">
        <v>5572</v>
      </c>
      <c r="E1749" s="8" t="s">
        <v>5573</v>
      </c>
      <c r="F1749" s="8" t="s">
        <v>5574</v>
      </c>
      <c r="G1749" s="6" t="s">
        <v>5575</v>
      </c>
      <c r="H1749" s="6" t="s">
        <v>5576</v>
      </c>
      <c r="I1749" s="6" t="s">
        <v>165</v>
      </c>
      <c r="J1749" s="6" t="s">
        <v>40</v>
      </c>
      <c r="K1749" s="6"/>
      <c r="L1749" s="7" t="s">
        <v>40</v>
      </c>
      <c r="M1749" s="6" t="s">
        <v>76</v>
      </c>
      <c r="N1749" s="8" t="s">
        <v>5577</v>
      </c>
      <c r="O1749" s="6">
        <f>HYPERLINK("https://docs.wto.org/imrd/directdoc.asp?DDFDocuments/t/G/TBTN15/MEX279A5.DOCX", "https://docs.wto.org/imrd/directdoc.asp?DDFDocuments/t/G/TBTN15/MEX279A5.DOCX")</f>
      </c>
      <c r="P1749" s="6">
        <f>HYPERLINK("https://docs.wto.org/imrd/directdoc.asp?DDFDocuments/u/G/TBTN15/MEX279A5.DOCX", "https://docs.wto.org/imrd/directdoc.asp?DDFDocuments/u/G/TBTN15/MEX279A5.DOCX")</f>
      </c>
      <c r="Q1749" s="6">
        <f>HYPERLINK("https://docs.wto.org/imrd/directdoc.asp?DDFDocuments/v/G/TBTN15/MEX279A5.DOCX", "https://docs.wto.org/imrd/directdoc.asp?DDFDocuments/v/G/TBTN15/MEX279A5.DOCX")</f>
      </c>
    </row>
    <row r="1750">
      <c r="A1750" s="6" t="s">
        <v>160</v>
      </c>
      <c r="B1750" s="7">
        <v>45457</v>
      </c>
      <c r="C1750" s="6">
        <f>HYPERLINK("https://eping.wto.org/en/Search?viewData= G/TBT/N/USA/2003/Add.1"," G/TBT/N/USA/2003/Add.1")</f>
      </c>
      <c r="D1750" s="8" t="s">
        <v>5578</v>
      </c>
      <c r="E1750" s="8" t="s">
        <v>5579</v>
      </c>
      <c r="F1750" s="8" t="s">
        <v>5580</v>
      </c>
      <c r="G1750" s="6" t="s">
        <v>40</v>
      </c>
      <c r="H1750" s="6" t="s">
        <v>5581</v>
      </c>
      <c r="I1750" s="6" t="s">
        <v>213</v>
      </c>
      <c r="J1750" s="6" t="s">
        <v>40</v>
      </c>
      <c r="K1750" s="6"/>
      <c r="L1750" s="7" t="s">
        <v>40</v>
      </c>
      <c r="M1750" s="6" t="s">
        <v>76</v>
      </c>
      <c r="N1750" s="8" t="s">
        <v>5582</v>
      </c>
      <c r="O1750" s="6">
        <f>HYPERLINK("https://docs.wto.org/imrd/directdoc.asp?DDFDocuments/t/G/TBTN23/USA2003A1.DOCX", "https://docs.wto.org/imrd/directdoc.asp?DDFDocuments/t/G/TBTN23/USA2003A1.DOCX")</f>
      </c>
      <c r="P1750" s="6">
        <f>HYPERLINK("https://docs.wto.org/imrd/directdoc.asp?DDFDocuments/u/G/TBTN23/USA2003A1.DOCX", "https://docs.wto.org/imrd/directdoc.asp?DDFDocuments/u/G/TBTN23/USA2003A1.DOCX")</f>
      </c>
      <c r="Q1750" s="6">
        <f>HYPERLINK("https://docs.wto.org/imrd/directdoc.asp?DDFDocuments/v/G/TBTN23/USA2003A1.DOCX", "https://docs.wto.org/imrd/directdoc.asp?DDFDocuments/v/G/TBTN23/USA2003A1.DOCX")</f>
      </c>
    </row>
    <row r="1751">
      <c r="A1751" s="6" t="s">
        <v>239</v>
      </c>
      <c r="B1751" s="7">
        <v>45457</v>
      </c>
      <c r="C1751" s="6">
        <f>HYPERLINK("https://eping.wto.org/en/Search?viewData= G/TBT/N/VNM/301"," G/TBT/N/VNM/301")</f>
      </c>
      <c r="D1751" s="8" t="s">
        <v>5583</v>
      </c>
      <c r="E1751" s="8" t="s">
        <v>5584</v>
      </c>
      <c r="F1751" s="8" t="s">
        <v>5535</v>
      </c>
      <c r="G1751" s="6" t="s">
        <v>5536</v>
      </c>
      <c r="H1751" s="6" t="s">
        <v>40</v>
      </c>
      <c r="I1751" s="6" t="s">
        <v>280</v>
      </c>
      <c r="J1751" s="6" t="s">
        <v>40</v>
      </c>
      <c r="K1751" s="6"/>
      <c r="L1751" s="7">
        <v>45517</v>
      </c>
      <c r="M1751" s="6" t="s">
        <v>25</v>
      </c>
      <c r="N1751" s="8" t="s">
        <v>5585</v>
      </c>
      <c r="O1751" s="6">
        <f>HYPERLINK("https://docs.wto.org/imrd/directdoc.asp?DDFDocuments/t/G/TBTN24/VNM301.DOCX", "https://docs.wto.org/imrd/directdoc.asp?DDFDocuments/t/G/TBTN24/VNM301.DOCX")</f>
      </c>
      <c r="P1751" s="6">
        <f>HYPERLINK("https://docs.wto.org/imrd/directdoc.asp?DDFDocuments/u/G/TBTN24/VNM301.DOCX", "https://docs.wto.org/imrd/directdoc.asp?DDFDocuments/u/G/TBTN24/VNM301.DOCX")</f>
      </c>
      <c r="Q1751" s="6">
        <f>HYPERLINK("https://docs.wto.org/imrd/directdoc.asp?DDFDocuments/v/G/TBTN24/VNM301.DOCX", "https://docs.wto.org/imrd/directdoc.asp?DDFDocuments/v/G/TBTN24/VNM301.DOCX")</f>
      </c>
    </row>
    <row r="1752">
      <c r="A1752" s="6" t="s">
        <v>160</v>
      </c>
      <c r="B1752" s="7">
        <v>45457</v>
      </c>
      <c r="C1752" s="6">
        <f>HYPERLINK("https://eping.wto.org/en/Search?viewData= G/TBT/N/USA/1991/Add.1/Corr.1"," G/TBT/N/USA/1991/Add.1/Corr.1")</f>
      </c>
      <c r="D1752" s="8" t="s">
        <v>5586</v>
      </c>
      <c r="E1752" s="8" t="s">
        <v>5587</v>
      </c>
      <c r="F1752" s="8" t="s">
        <v>5588</v>
      </c>
      <c r="G1752" s="6" t="s">
        <v>40</v>
      </c>
      <c r="H1752" s="6" t="s">
        <v>5589</v>
      </c>
      <c r="I1752" s="6" t="s">
        <v>3620</v>
      </c>
      <c r="J1752" s="6" t="s">
        <v>40</v>
      </c>
      <c r="K1752" s="6"/>
      <c r="L1752" s="7" t="s">
        <v>40</v>
      </c>
      <c r="M1752" s="6" t="s">
        <v>224</v>
      </c>
      <c r="N1752" s="8" t="s">
        <v>5590</v>
      </c>
      <c r="O1752" s="6">
        <f>HYPERLINK("https://docs.wto.org/imrd/directdoc.asp?DDFDocuments/t/G/TBTN23/USA1991A1C1.DOCX", "https://docs.wto.org/imrd/directdoc.asp?DDFDocuments/t/G/TBTN23/USA1991A1C1.DOCX")</f>
      </c>
      <c r="P1752" s="6">
        <f>HYPERLINK("https://docs.wto.org/imrd/directdoc.asp?DDFDocuments/u/G/TBTN23/USA1991A1C1.DOCX", "https://docs.wto.org/imrd/directdoc.asp?DDFDocuments/u/G/TBTN23/USA1991A1C1.DOCX")</f>
      </c>
      <c r="Q1752" s="6">
        <f>HYPERLINK("https://docs.wto.org/imrd/directdoc.asp?DDFDocuments/v/G/TBTN23/USA1991A1C1.DOCX", "https://docs.wto.org/imrd/directdoc.asp?DDFDocuments/v/G/TBTN23/USA1991A1C1.DOCX")</f>
      </c>
    </row>
    <row r="1753">
      <c r="A1753" s="6" t="s">
        <v>239</v>
      </c>
      <c r="B1753" s="7">
        <v>45457</v>
      </c>
      <c r="C1753" s="6">
        <f>HYPERLINK("https://eping.wto.org/en/Search?viewData= G/TBT/N/VNM/304"," G/TBT/N/VNM/304")</f>
      </c>
      <c r="D1753" s="8" t="s">
        <v>5591</v>
      </c>
      <c r="E1753" s="8" t="s">
        <v>5592</v>
      </c>
      <c r="F1753" s="8" t="s">
        <v>5535</v>
      </c>
      <c r="G1753" s="6" t="s">
        <v>5536</v>
      </c>
      <c r="H1753" s="6" t="s">
        <v>40</v>
      </c>
      <c r="I1753" s="6" t="s">
        <v>280</v>
      </c>
      <c r="J1753" s="6" t="s">
        <v>40</v>
      </c>
      <c r="K1753" s="6"/>
      <c r="L1753" s="7">
        <v>45517</v>
      </c>
      <c r="M1753" s="6" t="s">
        <v>25</v>
      </c>
      <c r="N1753" s="8" t="s">
        <v>5593</v>
      </c>
      <c r="O1753" s="6">
        <f>HYPERLINK("https://docs.wto.org/imrd/directdoc.asp?DDFDocuments/t/G/TBTN24/VNM304.DOCX", "https://docs.wto.org/imrd/directdoc.asp?DDFDocuments/t/G/TBTN24/VNM304.DOCX")</f>
      </c>
      <c r="P1753" s="6">
        <f>HYPERLINK("https://docs.wto.org/imrd/directdoc.asp?DDFDocuments/u/G/TBTN24/VNM304.DOCX", "https://docs.wto.org/imrd/directdoc.asp?DDFDocuments/u/G/TBTN24/VNM304.DOCX")</f>
      </c>
      <c r="Q1753" s="6">
        <f>HYPERLINK("https://docs.wto.org/imrd/directdoc.asp?DDFDocuments/v/G/TBTN24/VNM304.DOCX", "https://docs.wto.org/imrd/directdoc.asp?DDFDocuments/v/G/TBTN24/VNM304.DOCX")</f>
      </c>
    </row>
    <row r="1754">
      <c r="A1754" s="6" t="s">
        <v>239</v>
      </c>
      <c r="B1754" s="7">
        <v>45457</v>
      </c>
      <c r="C1754" s="6">
        <f>HYPERLINK("https://eping.wto.org/en/Search?viewData= G/TBT/N/VNM/306"," G/TBT/N/VNM/306")</f>
      </c>
      <c r="D1754" s="8" t="s">
        <v>5594</v>
      </c>
      <c r="E1754" s="8" t="s">
        <v>5595</v>
      </c>
      <c r="F1754" s="8" t="s">
        <v>5535</v>
      </c>
      <c r="G1754" s="6" t="s">
        <v>5536</v>
      </c>
      <c r="H1754" s="6" t="s">
        <v>40</v>
      </c>
      <c r="I1754" s="6" t="s">
        <v>280</v>
      </c>
      <c r="J1754" s="6" t="s">
        <v>40</v>
      </c>
      <c r="K1754" s="6"/>
      <c r="L1754" s="7">
        <v>45517</v>
      </c>
      <c r="M1754" s="6" t="s">
        <v>25</v>
      </c>
      <c r="N1754" s="8" t="s">
        <v>5596</v>
      </c>
      <c r="O1754" s="6">
        <f>HYPERLINK("https://docs.wto.org/imrd/directdoc.asp?DDFDocuments/t/G/TBTN24/VNM306.DOCX", "https://docs.wto.org/imrd/directdoc.asp?DDFDocuments/t/G/TBTN24/VNM306.DOCX")</f>
      </c>
      <c r="P1754" s="6">
        <f>HYPERLINK("https://docs.wto.org/imrd/directdoc.asp?DDFDocuments/u/G/TBTN24/VNM306.DOCX", "https://docs.wto.org/imrd/directdoc.asp?DDFDocuments/u/G/TBTN24/VNM306.DOCX")</f>
      </c>
      <c r="Q1754" s="6">
        <f>HYPERLINK("https://docs.wto.org/imrd/directdoc.asp?DDFDocuments/v/G/TBTN24/VNM306.DOCX", "https://docs.wto.org/imrd/directdoc.asp?DDFDocuments/v/G/TBTN24/VNM306.DOCX")</f>
      </c>
    </row>
    <row r="1755">
      <c r="A1755" s="6" t="s">
        <v>70</v>
      </c>
      <c r="B1755" s="7">
        <v>45457</v>
      </c>
      <c r="C1755" s="6">
        <f>HYPERLINK("https://eping.wto.org/en/Search?viewData= G/TBT/N/UKR/300"," G/TBT/N/UKR/300")</f>
      </c>
      <c r="D1755" s="8" t="s">
        <v>5597</v>
      </c>
      <c r="E1755" s="8" t="s">
        <v>5598</v>
      </c>
      <c r="F1755" s="8" t="s">
        <v>5599</v>
      </c>
      <c r="G1755" s="6" t="s">
        <v>40</v>
      </c>
      <c r="H1755" s="6" t="s">
        <v>40</v>
      </c>
      <c r="I1755" s="6" t="s">
        <v>142</v>
      </c>
      <c r="J1755" s="6" t="s">
        <v>95</v>
      </c>
      <c r="K1755" s="6"/>
      <c r="L1755" s="7">
        <v>45517</v>
      </c>
      <c r="M1755" s="6" t="s">
        <v>25</v>
      </c>
      <c r="N1755" s="8" t="s">
        <v>5600</v>
      </c>
      <c r="O1755" s="6">
        <f>HYPERLINK("https://docs.wto.org/imrd/directdoc.asp?DDFDocuments/t/G/TBTN24/UKR300.DOCX", "https://docs.wto.org/imrd/directdoc.asp?DDFDocuments/t/G/TBTN24/UKR300.DOCX")</f>
      </c>
      <c r="P1755" s="6">
        <f>HYPERLINK("https://docs.wto.org/imrd/directdoc.asp?DDFDocuments/u/G/TBTN24/UKR300.DOCX", "https://docs.wto.org/imrd/directdoc.asp?DDFDocuments/u/G/TBTN24/UKR300.DOCX")</f>
      </c>
      <c r="Q1755" s="6">
        <f>HYPERLINK("https://docs.wto.org/imrd/directdoc.asp?DDFDocuments/v/G/TBTN24/UKR300.DOCX", "https://docs.wto.org/imrd/directdoc.asp?DDFDocuments/v/G/TBTN24/UKR300.DOCX")</f>
      </c>
    </row>
    <row r="1756">
      <c r="A1756" s="6" t="s">
        <v>239</v>
      </c>
      <c r="B1756" s="7">
        <v>45457</v>
      </c>
      <c r="C1756" s="6">
        <f>HYPERLINK("https://eping.wto.org/en/Search?viewData= G/TBT/N/VNM/307"," G/TBT/N/VNM/307")</f>
      </c>
      <c r="D1756" s="8" t="s">
        <v>5601</v>
      </c>
      <c r="E1756" s="8" t="s">
        <v>5602</v>
      </c>
      <c r="F1756" s="8" t="s">
        <v>5535</v>
      </c>
      <c r="G1756" s="6" t="s">
        <v>5536</v>
      </c>
      <c r="H1756" s="6" t="s">
        <v>40</v>
      </c>
      <c r="I1756" s="6" t="s">
        <v>280</v>
      </c>
      <c r="J1756" s="6" t="s">
        <v>40</v>
      </c>
      <c r="K1756" s="6"/>
      <c r="L1756" s="7">
        <v>45517</v>
      </c>
      <c r="M1756" s="6" t="s">
        <v>25</v>
      </c>
      <c r="N1756" s="8" t="s">
        <v>5603</v>
      </c>
      <c r="O1756" s="6">
        <f>HYPERLINK("https://docs.wto.org/imrd/directdoc.asp?DDFDocuments/t/G/TBTN24/VNM307.DOCX", "https://docs.wto.org/imrd/directdoc.asp?DDFDocuments/t/G/TBTN24/VNM307.DOCX")</f>
      </c>
      <c r="P1756" s="6">
        <f>HYPERLINK("https://docs.wto.org/imrd/directdoc.asp?DDFDocuments/u/G/TBTN24/VNM307.DOCX", "https://docs.wto.org/imrd/directdoc.asp?DDFDocuments/u/G/TBTN24/VNM307.DOCX")</f>
      </c>
      <c r="Q1756" s="6">
        <f>HYPERLINK("https://docs.wto.org/imrd/directdoc.asp?DDFDocuments/v/G/TBTN24/VNM307.DOCX", "https://docs.wto.org/imrd/directdoc.asp?DDFDocuments/v/G/TBTN24/VNM307.DOCX")</f>
      </c>
    </row>
    <row r="1757">
      <c r="A1757" s="6" t="s">
        <v>322</v>
      </c>
      <c r="B1757" s="7">
        <v>45457</v>
      </c>
      <c r="C1757" s="6">
        <f>HYPERLINK("https://eping.wto.org/en/Search?viewData= G/TBT/N/TPKM/543"," G/TBT/N/TPKM/543")</f>
      </c>
      <c r="D1757" s="8" t="s">
        <v>5604</v>
      </c>
      <c r="E1757" s="8" t="s">
        <v>5605</v>
      </c>
      <c r="F1757" s="8" t="s">
        <v>5606</v>
      </c>
      <c r="G1757" s="6" t="s">
        <v>1414</v>
      </c>
      <c r="H1757" s="6" t="s">
        <v>5607</v>
      </c>
      <c r="I1757" s="6" t="s">
        <v>147</v>
      </c>
      <c r="J1757" s="6" t="s">
        <v>40</v>
      </c>
      <c r="K1757" s="6"/>
      <c r="L1757" s="7">
        <v>45517</v>
      </c>
      <c r="M1757" s="6" t="s">
        <v>25</v>
      </c>
      <c r="N1757" s="8" t="s">
        <v>5608</v>
      </c>
      <c r="O1757" s="6">
        <f>HYPERLINK("https://docs.wto.org/imrd/directdoc.asp?DDFDocuments/t/G/TBTN24/TPKM543.DOCX", "https://docs.wto.org/imrd/directdoc.asp?DDFDocuments/t/G/TBTN24/TPKM543.DOCX")</f>
      </c>
      <c r="P1757" s="6">
        <f>HYPERLINK("https://docs.wto.org/imrd/directdoc.asp?DDFDocuments/u/G/TBTN24/TPKM543.DOCX", "https://docs.wto.org/imrd/directdoc.asp?DDFDocuments/u/G/TBTN24/TPKM543.DOCX")</f>
      </c>
      <c r="Q1757" s="6">
        <f>HYPERLINK("https://docs.wto.org/imrd/directdoc.asp?DDFDocuments/v/G/TBTN24/TPKM543.DOCX", "https://docs.wto.org/imrd/directdoc.asp?DDFDocuments/v/G/TBTN24/TPKM543.DOCX")</f>
      </c>
    </row>
    <row r="1758">
      <c r="A1758" s="6" t="s">
        <v>70</v>
      </c>
      <c r="B1758" s="7">
        <v>45457</v>
      </c>
      <c r="C1758" s="6">
        <f>HYPERLINK("https://eping.wto.org/en/Search?viewData= G/SPS/N/UKR/222"," G/SPS/N/UKR/222")</f>
      </c>
      <c r="D1758" s="8" t="s">
        <v>5609</v>
      </c>
      <c r="E1758" s="8" t="s">
        <v>5610</v>
      </c>
      <c r="F1758" s="8" t="s">
        <v>4821</v>
      </c>
      <c r="G1758" s="6" t="s">
        <v>40</v>
      </c>
      <c r="H1758" s="6" t="s">
        <v>40</v>
      </c>
      <c r="I1758" s="6" t="s">
        <v>369</v>
      </c>
      <c r="J1758" s="6" t="s">
        <v>370</v>
      </c>
      <c r="K1758" s="6" t="s">
        <v>40</v>
      </c>
      <c r="L1758" s="7">
        <v>45517</v>
      </c>
      <c r="M1758" s="6" t="s">
        <v>25</v>
      </c>
      <c r="N1758" s="8" t="s">
        <v>5611</v>
      </c>
      <c r="O1758" s="6">
        <f>HYPERLINK("https://docs.wto.org/imrd/directdoc.asp?DDFDocuments/t/G/SPS/NUKR222.DOCX", "https://docs.wto.org/imrd/directdoc.asp?DDFDocuments/t/G/SPS/NUKR222.DOCX")</f>
      </c>
      <c r="P1758" s="6">
        <f>HYPERLINK("https://docs.wto.org/imrd/directdoc.asp?DDFDocuments/u/G/SPS/NUKR222.DOCX", "https://docs.wto.org/imrd/directdoc.asp?DDFDocuments/u/G/SPS/NUKR222.DOCX")</f>
      </c>
      <c r="Q1758" s="6">
        <f>HYPERLINK("https://docs.wto.org/imrd/directdoc.asp?DDFDocuments/v/G/SPS/NUKR222.DOCX", "https://docs.wto.org/imrd/directdoc.asp?DDFDocuments/v/G/SPS/NUKR222.DOCX")</f>
      </c>
    </row>
    <row r="1759">
      <c r="A1759" s="6" t="s">
        <v>239</v>
      </c>
      <c r="B1759" s="7">
        <v>45457</v>
      </c>
      <c r="C1759" s="6">
        <f>HYPERLINK("https://eping.wto.org/en/Search?viewData= G/TBT/N/VNM/302"," G/TBT/N/VNM/302")</f>
      </c>
      <c r="D1759" s="8" t="s">
        <v>5612</v>
      </c>
      <c r="E1759" s="8" t="s">
        <v>5613</v>
      </c>
      <c r="F1759" s="8" t="s">
        <v>5535</v>
      </c>
      <c r="G1759" s="6" t="s">
        <v>5536</v>
      </c>
      <c r="H1759" s="6" t="s">
        <v>40</v>
      </c>
      <c r="I1759" s="6" t="s">
        <v>280</v>
      </c>
      <c r="J1759" s="6" t="s">
        <v>40</v>
      </c>
      <c r="K1759" s="6"/>
      <c r="L1759" s="7">
        <v>45517</v>
      </c>
      <c r="M1759" s="6" t="s">
        <v>25</v>
      </c>
      <c r="N1759" s="8" t="s">
        <v>5614</v>
      </c>
      <c r="O1759" s="6">
        <f>HYPERLINK("https://docs.wto.org/imrd/directdoc.asp?DDFDocuments/t/G/TBTN24/VNM302.DOCX", "https://docs.wto.org/imrd/directdoc.asp?DDFDocuments/t/G/TBTN24/VNM302.DOCX")</f>
      </c>
      <c r="P1759" s="6">
        <f>HYPERLINK("https://docs.wto.org/imrd/directdoc.asp?DDFDocuments/u/G/TBTN24/VNM302.DOCX", "https://docs.wto.org/imrd/directdoc.asp?DDFDocuments/u/G/TBTN24/VNM302.DOCX")</f>
      </c>
      <c r="Q1759" s="6">
        <f>HYPERLINK("https://docs.wto.org/imrd/directdoc.asp?DDFDocuments/v/G/TBTN24/VNM302.DOCX", "https://docs.wto.org/imrd/directdoc.asp?DDFDocuments/v/G/TBTN24/VNM302.DOCX")</f>
      </c>
    </row>
    <row r="1760">
      <c r="A1760" s="6" t="s">
        <v>115</v>
      </c>
      <c r="B1760" s="7">
        <v>45457</v>
      </c>
      <c r="C1760" s="6">
        <f>HYPERLINK("https://eping.wto.org/en/Search?viewData= G/TBT/N/BRA/1546"," G/TBT/N/BRA/1546")</f>
      </c>
      <c r="D1760" s="8" t="s">
        <v>5615</v>
      </c>
      <c r="E1760" s="8" t="s">
        <v>5616</v>
      </c>
      <c r="F1760" s="8" t="s">
        <v>5617</v>
      </c>
      <c r="G1760" s="6" t="s">
        <v>40</v>
      </c>
      <c r="H1760" s="6" t="s">
        <v>5618</v>
      </c>
      <c r="I1760" s="6" t="s">
        <v>147</v>
      </c>
      <c r="J1760" s="6" t="s">
        <v>95</v>
      </c>
      <c r="K1760" s="6"/>
      <c r="L1760" s="7">
        <v>45517</v>
      </c>
      <c r="M1760" s="6" t="s">
        <v>25</v>
      </c>
      <c r="N1760" s="8" t="s">
        <v>5619</v>
      </c>
      <c r="O1760" s="6">
        <f>HYPERLINK("https://docs.wto.org/imrd/directdoc.asp?DDFDocuments/t/G/TBTN24/BRA1546.DOCX", "https://docs.wto.org/imrd/directdoc.asp?DDFDocuments/t/G/TBTN24/BRA1546.DOCX")</f>
      </c>
      <c r="P1760" s="6">
        <f>HYPERLINK("https://docs.wto.org/imrd/directdoc.asp?DDFDocuments/u/G/TBTN24/BRA1546.DOCX", "https://docs.wto.org/imrd/directdoc.asp?DDFDocuments/u/G/TBTN24/BRA1546.DOCX")</f>
      </c>
      <c r="Q1760" s="6">
        <f>HYPERLINK("https://docs.wto.org/imrd/directdoc.asp?DDFDocuments/v/G/TBTN24/BRA1546.DOCX", "https://docs.wto.org/imrd/directdoc.asp?DDFDocuments/v/G/TBTN24/BRA1546.DOCX")</f>
      </c>
    </row>
    <row r="1761">
      <c r="A1761" s="6" t="s">
        <v>160</v>
      </c>
      <c r="B1761" s="7">
        <v>45457</v>
      </c>
      <c r="C1761" s="6">
        <f>HYPERLINK("https://eping.wto.org/en/Search?viewData= G/TBT/N/USA/1790/Add.2"," G/TBT/N/USA/1790/Add.2")</f>
      </c>
      <c r="D1761" s="8" t="s">
        <v>5620</v>
      </c>
      <c r="E1761" s="8" t="s">
        <v>5621</v>
      </c>
      <c r="F1761" s="8" t="s">
        <v>5622</v>
      </c>
      <c r="G1761" s="6" t="s">
        <v>40</v>
      </c>
      <c r="H1761" s="6" t="s">
        <v>5623</v>
      </c>
      <c r="I1761" s="6" t="s">
        <v>5624</v>
      </c>
      <c r="J1761" s="6" t="s">
        <v>154</v>
      </c>
      <c r="K1761" s="6"/>
      <c r="L1761" s="7" t="s">
        <v>40</v>
      </c>
      <c r="M1761" s="6" t="s">
        <v>76</v>
      </c>
      <c r="N1761" s="8" t="s">
        <v>5625</v>
      </c>
      <c r="O1761" s="6">
        <f>HYPERLINK("https://docs.wto.org/imrd/directdoc.asp?DDFDocuments/t/G/TBTN21/USA1790A2.DOCX", "https://docs.wto.org/imrd/directdoc.asp?DDFDocuments/t/G/TBTN21/USA1790A2.DOCX")</f>
      </c>
      <c r="P1761" s="6">
        <f>HYPERLINK("https://docs.wto.org/imrd/directdoc.asp?DDFDocuments/u/G/TBTN21/USA1790A2.DOCX", "https://docs.wto.org/imrd/directdoc.asp?DDFDocuments/u/G/TBTN21/USA1790A2.DOCX")</f>
      </c>
      <c r="Q1761" s="6">
        <f>HYPERLINK("https://docs.wto.org/imrd/directdoc.asp?DDFDocuments/v/G/TBTN21/USA1790A2.DOCX", "https://docs.wto.org/imrd/directdoc.asp?DDFDocuments/v/G/TBTN21/USA1790A2.DOCX")</f>
      </c>
    </row>
    <row r="1762">
      <c r="A1762" s="6" t="s">
        <v>115</v>
      </c>
      <c r="B1762" s="7">
        <v>45457</v>
      </c>
      <c r="C1762" s="6">
        <f>HYPERLINK("https://eping.wto.org/en/Search?viewData= G/TBT/N/BRA/1545"," G/TBT/N/BRA/1545")</f>
      </c>
      <c r="D1762" s="8" t="s">
        <v>5626</v>
      </c>
      <c r="E1762" s="8" t="s">
        <v>5627</v>
      </c>
      <c r="F1762" s="8" t="s">
        <v>3679</v>
      </c>
      <c r="G1762" s="6" t="s">
        <v>40</v>
      </c>
      <c r="H1762" s="6" t="s">
        <v>3680</v>
      </c>
      <c r="I1762" s="6" t="s">
        <v>147</v>
      </c>
      <c r="J1762" s="6" t="s">
        <v>95</v>
      </c>
      <c r="K1762" s="6"/>
      <c r="L1762" s="7">
        <v>45515</v>
      </c>
      <c r="M1762" s="6" t="s">
        <v>25</v>
      </c>
      <c r="N1762" s="8" t="s">
        <v>5628</v>
      </c>
      <c r="O1762" s="6">
        <f>HYPERLINK("https://docs.wto.org/imrd/directdoc.asp?DDFDocuments/t/G/TBTN24/BRA1545.DOCX", "https://docs.wto.org/imrd/directdoc.asp?DDFDocuments/t/G/TBTN24/BRA1545.DOCX")</f>
      </c>
      <c r="P1762" s="6">
        <f>HYPERLINK("https://docs.wto.org/imrd/directdoc.asp?DDFDocuments/u/G/TBTN24/BRA1545.DOCX", "https://docs.wto.org/imrd/directdoc.asp?DDFDocuments/u/G/TBTN24/BRA1545.DOCX")</f>
      </c>
      <c r="Q1762" s="6">
        <f>HYPERLINK("https://docs.wto.org/imrd/directdoc.asp?DDFDocuments/v/G/TBTN24/BRA1545.DOCX", "https://docs.wto.org/imrd/directdoc.asp?DDFDocuments/v/G/TBTN24/BRA1545.DOCX")</f>
      </c>
    </row>
    <row r="1763">
      <c r="A1763" s="6" t="s">
        <v>160</v>
      </c>
      <c r="B1763" s="7">
        <v>45457</v>
      </c>
      <c r="C1763" s="6">
        <f>HYPERLINK("https://eping.wto.org/en/Search?viewData= G/TBT/N/USA/1679/Add.3"," G/TBT/N/USA/1679/Add.3")</f>
      </c>
      <c r="D1763" s="8" t="s">
        <v>5629</v>
      </c>
      <c r="E1763" s="8" t="s">
        <v>5630</v>
      </c>
      <c r="F1763" s="8" t="s">
        <v>5631</v>
      </c>
      <c r="G1763" s="6" t="s">
        <v>40</v>
      </c>
      <c r="H1763" s="6" t="s">
        <v>5632</v>
      </c>
      <c r="I1763" s="6" t="s">
        <v>5633</v>
      </c>
      <c r="J1763" s="6" t="s">
        <v>40</v>
      </c>
      <c r="K1763" s="6"/>
      <c r="L1763" s="7" t="s">
        <v>40</v>
      </c>
      <c r="M1763" s="6" t="s">
        <v>76</v>
      </c>
      <c r="N1763" s="8" t="s">
        <v>5634</v>
      </c>
      <c r="O1763" s="6">
        <f>HYPERLINK("https://docs.wto.org/imrd/directdoc.asp?DDFDocuments/t/G/TBTN20/USA1679A3.DOCX", "https://docs.wto.org/imrd/directdoc.asp?DDFDocuments/t/G/TBTN20/USA1679A3.DOCX")</f>
      </c>
      <c r="P1763" s="6">
        <f>HYPERLINK("https://docs.wto.org/imrd/directdoc.asp?DDFDocuments/u/G/TBTN20/USA1679A3.DOCX", "https://docs.wto.org/imrd/directdoc.asp?DDFDocuments/u/G/TBTN20/USA1679A3.DOCX")</f>
      </c>
      <c r="Q1763" s="6">
        <f>HYPERLINK("https://docs.wto.org/imrd/directdoc.asp?DDFDocuments/v/G/TBTN20/USA1679A3.DOCX", "https://docs.wto.org/imrd/directdoc.asp?DDFDocuments/v/G/TBTN20/USA1679A3.DOCX")</f>
      </c>
    </row>
    <row r="1764">
      <c r="A1764" s="6" t="s">
        <v>239</v>
      </c>
      <c r="B1764" s="7">
        <v>45457</v>
      </c>
      <c r="C1764" s="6">
        <f>HYPERLINK("https://eping.wto.org/en/Search?viewData= G/TBT/N/VNM/308"," G/TBT/N/VNM/308")</f>
      </c>
      <c r="D1764" s="8" t="s">
        <v>5635</v>
      </c>
      <c r="E1764" s="8" t="s">
        <v>5636</v>
      </c>
      <c r="F1764" s="8" t="s">
        <v>5637</v>
      </c>
      <c r="G1764" s="6" t="s">
        <v>5638</v>
      </c>
      <c r="H1764" s="6" t="s">
        <v>40</v>
      </c>
      <c r="I1764" s="6" t="s">
        <v>280</v>
      </c>
      <c r="J1764" s="6" t="s">
        <v>40</v>
      </c>
      <c r="K1764" s="6"/>
      <c r="L1764" s="7">
        <v>45517</v>
      </c>
      <c r="M1764" s="6" t="s">
        <v>25</v>
      </c>
      <c r="N1764" s="8" t="s">
        <v>5639</v>
      </c>
      <c r="O1764" s="6">
        <f>HYPERLINK("https://docs.wto.org/imrd/directdoc.asp?DDFDocuments/t/G/TBTN24/VNM308.DOCX", "https://docs.wto.org/imrd/directdoc.asp?DDFDocuments/t/G/TBTN24/VNM308.DOCX")</f>
      </c>
      <c r="P1764" s="6">
        <f>HYPERLINK("https://docs.wto.org/imrd/directdoc.asp?DDFDocuments/u/G/TBTN24/VNM308.DOCX", "https://docs.wto.org/imrd/directdoc.asp?DDFDocuments/u/G/TBTN24/VNM308.DOCX")</f>
      </c>
      <c r="Q1764" s="6">
        <f>HYPERLINK("https://docs.wto.org/imrd/directdoc.asp?DDFDocuments/v/G/TBTN24/VNM308.DOCX", "https://docs.wto.org/imrd/directdoc.asp?DDFDocuments/v/G/TBTN24/VNM308.DOCX")</f>
      </c>
    </row>
    <row r="1765">
      <c r="A1765" s="6" t="s">
        <v>160</v>
      </c>
      <c r="B1765" s="7">
        <v>45457</v>
      </c>
      <c r="C1765" s="6">
        <f>HYPERLINK("https://eping.wto.org/en/Search?viewData= G/TBT/N/USA/583/Rev.2/Add.1"," G/TBT/N/USA/583/Rev.2/Add.1")</f>
      </c>
      <c r="D1765" s="8" t="s">
        <v>5640</v>
      </c>
      <c r="E1765" s="8" t="s">
        <v>5641</v>
      </c>
      <c r="F1765" s="8" t="s">
        <v>5642</v>
      </c>
      <c r="G1765" s="6" t="s">
        <v>5643</v>
      </c>
      <c r="H1765" s="6" t="s">
        <v>5644</v>
      </c>
      <c r="I1765" s="6" t="s">
        <v>1715</v>
      </c>
      <c r="J1765" s="6" t="s">
        <v>40</v>
      </c>
      <c r="K1765" s="6"/>
      <c r="L1765" s="7" t="s">
        <v>40</v>
      </c>
      <c r="M1765" s="6" t="s">
        <v>76</v>
      </c>
      <c r="N1765" s="8" t="s">
        <v>5645</v>
      </c>
      <c r="O1765" s="6">
        <f>HYPERLINK("https://docs.wto.org/imrd/directdoc.asp?DDFDocuments/t/G/TBTN10/USA583R2A1.DOCX", "https://docs.wto.org/imrd/directdoc.asp?DDFDocuments/t/G/TBTN10/USA583R2A1.DOCX")</f>
      </c>
      <c r="P1765" s="6">
        <f>HYPERLINK("https://docs.wto.org/imrd/directdoc.asp?DDFDocuments/u/G/TBTN10/USA583R2A1.DOCX", "https://docs.wto.org/imrd/directdoc.asp?DDFDocuments/u/G/TBTN10/USA583R2A1.DOCX")</f>
      </c>
      <c r="Q1765" s="6">
        <f>HYPERLINK("https://docs.wto.org/imrd/directdoc.asp?DDFDocuments/v/G/TBTN10/USA583R2A1.DOCX", "https://docs.wto.org/imrd/directdoc.asp?DDFDocuments/v/G/TBTN10/USA583R2A1.DOCX")</f>
      </c>
    </row>
    <row r="1766">
      <c r="A1766" s="6" t="s">
        <v>115</v>
      </c>
      <c r="B1766" s="7">
        <v>45457</v>
      </c>
      <c r="C1766" s="6">
        <f>HYPERLINK("https://eping.wto.org/en/Search?viewData= G/TBT/N/BRA/1544"," G/TBT/N/BRA/1544")</f>
      </c>
      <c r="D1766" s="8" t="s">
        <v>5646</v>
      </c>
      <c r="E1766" s="8" t="s">
        <v>5647</v>
      </c>
      <c r="F1766" s="8" t="s">
        <v>3679</v>
      </c>
      <c r="G1766" s="6" t="s">
        <v>40</v>
      </c>
      <c r="H1766" s="6" t="s">
        <v>3680</v>
      </c>
      <c r="I1766" s="6" t="s">
        <v>147</v>
      </c>
      <c r="J1766" s="6" t="s">
        <v>95</v>
      </c>
      <c r="K1766" s="6"/>
      <c r="L1766" s="7">
        <v>45513</v>
      </c>
      <c r="M1766" s="6" t="s">
        <v>25</v>
      </c>
      <c r="N1766" s="8" t="s">
        <v>5648</v>
      </c>
      <c r="O1766" s="6">
        <f>HYPERLINK("https://docs.wto.org/imrd/directdoc.asp?DDFDocuments/t/G/TBTN24/BRA1544.DOCX", "https://docs.wto.org/imrd/directdoc.asp?DDFDocuments/t/G/TBTN24/BRA1544.DOCX")</f>
      </c>
      <c r="P1766" s="6">
        <f>HYPERLINK("https://docs.wto.org/imrd/directdoc.asp?DDFDocuments/u/G/TBTN24/BRA1544.DOCX", "https://docs.wto.org/imrd/directdoc.asp?DDFDocuments/u/G/TBTN24/BRA1544.DOCX")</f>
      </c>
      <c r="Q1766" s="6">
        <f>HYPERLINK("https://docs.wto.org/imrd/directdoc.asp?DDFDocuments/v/G/TBTN24/BRA1544.DOCX", "https://docs.wto.org/imrd/directdoc.asp?DDFDocuments/v/G/TBTN24/BRA1544.DOCX")</f>
      </c>
    </row>
    <row r="1767">
      <c r="A1767" s="6" t="s">
        <v>70</v>
      </c>
      <c r="B1767" s="7">
        <v>45457</v>
      </c>
      <c r="C1767" s="6">
        <f>HYPERLINK("https://eping.wto.org/en/Search?viewData= G/TBT/N/UKR/299"," G/TBT/N/UKR/299")</f>
      </c>
      <c r="D1767" s="8" t="s">
        <v>2477</v>
      </c>
      <c r="E1767" s="8" t="s">
        <v>5649</v>
      </c>
      <c r="F1767" s="8" t="s">
        <v>2479</v>
      </c>
      <c r="G1767" s="6" t="s">
        <v>5650</v>
      </c>
      <c r="H1767" s="6" t="s">
        <v>846</v>
      </c>
      <c r="I1767" s="6" t="s">
        <v>280</v>
      </c>
      <c r="J1767" s="6" t="s">
        <v>40</v>
      </c>
      <c r="K1767" s="6"/>
      <c r="L1767" s="7">
        <v>45517</v>
      </c>
      <c r="M1767" s="6" t="s">
        <v>25</v>
      </c>
      <c r="N1767" s="8" t="s">
        <v>5651</v>
      </c>
      <c r="O1767" s="6">
        <f>HYPERLINK("https://docs.wto.org/imrd/directdoc.asp?DDFDocuments/t/G/TBTN24/UKR299.DOCX", "https://docs.wto.org/imrd/directdoc.asp?DDFDocuments/t/G/TBTN24/UKR299.DOCX")</f>
      </c>
      <c r="P1767" s="6">
        <f>HYPERLINK("https://docs.wto.org/imrd/directdoc.asp?DDFDocuments/u/G/TBTN24/UKR299.DOCX", "https://docs.wto.org/imrd/directdoc.asp?DDFDocuments/u/G/TBTN24/UKR299.DOCX")</f>
      </c>
      <c r="Q1767" s="6">
        <f>HYPERLINK("https://docs.wto.org/imrd/directdoc.asp?DDFDocuments/v/G/TBTN24/UKR299.DOCX", "https://docs.wto.org/imrd/directdoc.asp?DDFDocuments/v/G/TBTN24/UKR299.DOCX")</f>
      </c>
    </row>
    <row r="1768">
      <c r="A1768" s="6" t="s">
        <v>198</v>
      </c>
      <c r="B1768" s="7">
        <v>45457</v>
      </c>
      <c r="C1768" s="6">
        <f>HYPERLINK("https://eping.wto.org/en/Search?viewData= G/TBT/N/CHL/684"," G/TBT/N/CHL/684")</f>
      </c>
      <c r="D1768" s="8" t="s">
        <v>5652</v>
      </c>
      <c r="E1768" s="8" t="s">
        <v>5653</v>
      </c>
      <c r="F1768" s="8" t="s">
        <v>5654</v>
      </c>
      <c r="G1768" s="6" t="s">
        <v>40</v>
      </c>
      <c r="H1768" s="6" t="s">
        <v>40</v>
      </c>
      <c r="I1768" s="6" t="s">
        <v>147</v>
      </c>
      <c r="J1768" s="6" t="s">
        <v>40</v>
      </c>
      <c r="K1768" s="6"/>
      <c r="L1768" s="7">
        <v>45517</v>
      </c>
      <c r="M1768" s="6" t="s">
        <v>25</v>
      </c>
      <c r="N1768" s="8" t="s">
        <v>5655</v>
      </c>
      <c r="O1768" s="6">
        <f>HYPERLINK("https://docs.wto.org/imrd/directdoc.asp?DDFDocuments/t/G/TBTN24/CHL684.DOCX", "https://docs.wto.org/imrd/directdoc.asp?DDFDocuments/t/G/TBTN24/CHL684.DOCX")</f>
      </c>
      <c r="P1768" s="6">
        <f>HYPERLINK("https://docs.wto.org/imrd/directdoc.asp?DDFDocuments/u/G/TBTN24/CHL684.DOCX", "https://docs.wto.org/imrd/directdoc.asp?DDFDocuments/u/G/TBTN24/CHL684.DOCX")</f>
      </c>
      <c r="Q1768" s="6">
        <f>HYPERLINK("https://docs.wto.org/imrd/directdoc.asp?DDFDocuments/v/G/TBTN24/CHL684.DOCX", "https://docs.wto.org/imrd/directdoc.asp?DDFDocuments/v/G/TBTN24/CHL684.DOCX")</f>
      </c>
    </row>
    <row r="1769">
      <c r="A1769" s="6" t="s">
        <v>401</v>
      </c>
      <c r="B1769" s="7">
        <v>45457</v>
      </c>
      <c r="C1769" s="6">
        <f>HYPERLINK("https://eping.wto.org/en/Search?viewData= G/TBT/N/KOR/1214"," G/TBT/N/KOR/1214")</f>
      </c>
      <c r="D1769" s="8" t="s">
        <v>5656</v>
      </c>
      <c r="E1769" s="8" t="s">
        <v>5657</v>
      </c>
      <c r="F1769" s="8" t="s">
        <v>5658</v>
      </c>
      <c r="G1769" s="6" t="s">
        <v>40</v>
      </c>
      <c r="H1769" s="6" t="s">
        <v>40</v>
      </c>
      <c r="I1769" s="6" t="s">
        <v>191</v>
      </c>
      <c r="J1769" s="6" t="s">
        <v>40</v>
      </c>
      <c r="K1769" s="6"/>
      <c r="L1769" s="7">
        <v>45517</v>
      </c>
      <c r="M1769" s="6" t="s">
        <v>25</v>
      </c>
      <c r="N1769" s="8" t="s">
        <v>5659</v>
      </c>
      <c r="O1769" s="6">
        <f>HYPERLINK("https://docs.wto.org/imrd/directdoc.asp?DDFDocuments/t/G/TBTN24/KOR1214.DOCX", "https://docs.wto.org/imrd/directdoc.asp?DDFDocuments/t/G/TBTN24/KOR1214.DOCX")</f>
      </c>
      <c r="P1769" s="6">
        <f>HYPERLINK("https://docs.wto.org/imrd/directdoc.asp?DDFDocuments/u/G/TBTN24/KOR1214.DOCX", "https://docs.wto.org/imrd/directdoc.asp?DDFDocuments/u/G/TBTN24/KOR1214.DOCX")</f>
      </c>
      <c r="Q1769" s="6">
        <f>HYPERLINK("https://docs.wto.org/imrd/directdoc.asp?DDFDocuments/v/G/TBTN24/KOR1214.DOCX", "https://docs.wto.org/imrd/directdoc.asp?DDFDocuments/v/G/TBTN24/KOR1214.DOCX")</f>
      </c>
    </row>
    <row r="1770">
      <c r="A1770" s="6" t="s">
        <v>136</v>
      </c>
      <c r="B1770" s="7">
        <v>45456</v>
      </c>
      <c r="C1770" s="6">
        <f>HYPERLINK("https://eping.wto.org/en/Search?viewData= G/TBT/N/PER/161"," G/TBT/N/PER/161")</f>
      </c>
      <c r="D1770" s="8" t="s">
        <v>5660</v>
      </c>
      <c r="E1770" s="8" t="s">
        <v>5661</v>
      </c>
      <c r="F1770" s="8" t="s">
        <v>5662</v>
      </c>
      <c r="G1770" s="6" t="s">
        <v>4955</v>
      </c>
      <c r="H1770" s="6" t="s">
        <v>93</v>
      </c>
      <c r="I1770" s="6" t="s">
        <v>147</v>
      </c>
      <c r="J1770" s="6" t="s">
        <v>95</v>
      </c>
      <c r="K1770" s="6"/>
      <c r="L1770" s="7">
        <v>45516</v>
      </c>
      <c r="M1770" s="6" t="s">
        <v>25</v>
      </c>
      <c r="N1770" s="8" t="s">
        <v>5663</v>
      </c>
      <c r="O1770" s="6">
        <f>HYPERLINK("https://docs.wto.org/imrd/directdoc.asp?DDFDocuments/t/G/TBTN24/PER161.DOCX", "https://docs.wto.org/imrd/directdoc.asp?DDFDocuments/t/G/TBTN24/PER161.DOCX")</f>
      </c>
      <c r="P1770" s="6">
        <f>HYPERLINK("https://docs.wto.org/imrd/directdoc.asp?DDFDocuments/u/G/TBTN24/PER161.DOCX", "https://docs.wto.org/imrd/directdoc.asp?DDFDocuments/u/G/TBTN24/PER161.DOCX")</f>
      </c>
      <c r="Q1770" s="6">
        <f>HYPERLINK("https://docs.wto.org/imrd/directdoc.asp?DDFDocuments/v/G/TBTN24/PER161.DOCX", "https://docs.wto.org/imrd/directdoc.asp?DDFDocuments/v/G/TBTN24/PER161.DOCX")</f>
      </c>
    </row>
    <row r="1771">
      <c r="A1771" s="6" t="s">
        <v>2030</v>
      </c>
      <c r="B1771" s="7">
        <v>45456</v>
      </c>
      <c r="C1771" s="6">
        <f>HYPERLINK("https://eping.wto.org/en/Search?viewData= G/TBT/N/UGA/1945"," G/TBT/N/UGA/1945")</f>
      </c>
      <c r="D1771" s="8" t="s">
        <v>5664</v>
      </c>
      <c r="E1771" s="8" t="s">
        <v>5665</v>
      </c>
      <c r="F1771" s="8" t="s">
        <v>5666</v>
      </c>
      <c r="G1771" s="6" t="s">
        <v>4662</v>
      </c>
      <c r="H1771" s="6" t="s">
        <v>5667</v>
      </c>
      <c r="I1771" s="6" t="s">
        <v>134</v>
      </c>
      <c r="J1771" s="6" t="s">
        <v>40</v>
      </c>
      <c r="K1771" s="6"/>
      <c r="L1771" s="7">
        <v>45516</v>
      </c>
      <c r="M1771" s="6" t="s">
        <v>25</v>
      </c>
      <c r="N1771" s="6"/>
      <c r="O1771" s="6">
        <f>HYPERLINK("https://docs.wto.org/imrd/directdoc.asp?DDFDocuments/t/G/TBTN24/UGA1945.DOCX", "https://docs.wto.org/imrd/directdoc.asp?DDFDocuments/t/G/TBTN24/UGA1945.DOCX")</f>
      </c>
      <c r="P1771" s="6">
        <f>HYPERLINK("https://docs.wto.org/imrd/directdoc.asp?DDFDocuments/u/G/TBTN24/UGA1945.DOCX", "https://docs.wto.org/imrd/directdoc.asp?DDFDocuments/u/G/TBTN24/UGA1945.DOCX")</f>
      </c>
      <c r="Q1771" s="6">
        <f>HYPERLINK("https://docs.wto.org/imrd/directdoc.asp?DDFDocuments/v/G/TBTN24/UGA1945.DOCX", "https://docs.wto.org/imrd/directdoc.asp?DDFDocuments/v/G/TBTN24/UGA1945.DOCX")</f>
      </c>
    </row>
    <row r="1772">
      <c r="A1772" s="6" t="s">
        <v>307</v>
      </c>
      <c r="B1772" s="7">
        <v>45456</v>
      </c>
      <c r="C1772" s="6">
        <f>HYPERLINK("https://eping.wto.org/en/Search?viewData= G/SPS/N/CAN/1557"," G/SPS/N/CAN/1557")</f>
      </c>
      <c r="D1772" s="8" t="s">
        <v>5668</v>
      </c>
      <c r="E1772" s="8" t="s">
        <v>5669</v>
      </c>
      <c r="F1772" s="8" t="s">
        <v>5670</v>
      </c>
      <c r="G1772" s="6" t="s">
        <v>40</v>
      </c>
      <c r="H1772" s="6" t="s">
        <v>311</v>
      </c>
      <c r="I1772" s="6" t="s">
        <v>38</v>
      </c>
      <c r="J1772" s="6" t="s">
        <v>103</v>
      </c>
      <c r="K1772" s="6" t="s">
        <v>40</v>
      </c>
      <c r="L1772" s="7">
        <v>45529</v>
      </c>
      <c r="M1772" s="6" t="s">
        <v>25</v>
      </c>
      <c r="N1772" s="6"/>
      <c r="O1772" s="6">
        <f>HYPERLINK("https://docs.wto.org/imrd/directdoc.asp?DDFDocuments/t/G/SPS/NCAN1557.DOCX", "https://docs.wto.org/imrd/directdoc.asp?DDFDocuments/t/G/SPS/NCAN1557.DOCX")</f>
      </c>
      <c r="P1772" s="6">
        <f>HYPERLINK("https://docs.wto.org/imrd/directdoc.asp?DDFDocuments/u/G/SPS/NCAN1557.DOCX", "https://docs.wto.org/imrd/directdoc.asp?DDFDocuments/u/G/SPS/NCAN1557.DOCX")</f>
      </c>
      <c r="Q1772" s="6">
        <f>HYPERLINK("https://docs.wto.org/imrd/directdoc.asp?DDFDocuments/v/G/SPS/NCAN1557.DOCX", "https://docs.wto.org/imrd/directdoc.asp?DDFDocuments/v/G/SPS/NCAN1557.DOCX")</f>
      </c>
    </row>
    <row r="1773">
      <c r="A1773" s="6" t="s">
        <v>2030</v>
      </c>
      <c r="B1773" s="7">
        <v>45456</v>
      </c>
      <c r="C1773" s="6">
        <f>HYPERLINK("https://eping.wto.org/en/Search?viewData= G/TBT/N/UGA/1950"," G/TBT/N/UGA/1950")</f>
      </c>
      <c r="D1773" s="8" t="s">
        <v>5671</v>
      </c>
      <c r="E1773" s="8" t="s">
        <v>5672</v>
      </c>
      <c r="F1773" s="8" t="s">
        <v>5666</v>
      </c>
      <c r="G1773" s="6" t="s">
        <v>4662</v>
      </c>
      <c r="H1773" s="6" t="s">
        <v>5667</v>
      </c>
      <c r="I1773" s="6" t="s">
        <v>134</v>
      </c>
      <c r="J1773" s="6" t="s">
        <v>40</v>
      </c>
      <c r="K1773" s="6"/>
      <c r="L1773" s="7">
        <v>45516</v>
      </c>
      <c r="M1773" s="6" t="s">
        <v>25</v>
      </c>
      <c r="N1773" s="6"/>
      <c r="O1773" s="6">
        <f>HYPERLINK("https://docs.wto.org/imrd/directdoc.asp?DDFDocuments/t/G/TBTN24/UGA1950.DOCX", "https://docs.wto.org/imrd/directdoc.asp?DDFDocuments/t/G/TBTN24/UGA1950.DOCX")</f>
      </c>
      <c r="P1773" s="6">
        <f>HYPERLINK("https://docs.wto.org/imrd/directdoc.asp?DDFDocuments/u/G/TBTN24/UGA1950.DOCX", "https://docs.wto.org/imrd/directdoc.asp?DDFDocuments/u/G/TBTN24/UGA1950.DOCX")</f>
      </c>
      <c r="Q1773" s="6">
        <f>HYPERLINK("https://docs.wto.org/imrd/directdoc.asp?DDFDocuments/v/G/TBTN24/UGA1950.DOCX", "https://docs.wto.org/imrd/directdoc.asp?DDFDocuments/v/G/TBTN24/UGA1950.DOCX")</f>
      </c>
    </row>
    <row r="1774">
      <c r="A1774" s="6" t="s">
        <v>2030</v>
      </c>
      <c r="B1774" s="7">
        <v>45456</v>
      </c>
      <c r="C1774" s="6">
        <f>HYPERLINK("https://eping.wto.org/en/Search?viewData= G/TBT/N/UGA/1944"," G/TBT/N/UGA/1944")</f>
      </c>
      <c r="D1774" s="8" t="s">
        <v>5673</v>
      </c>
      <c r="E1774" s="8" t="s">
        <v>5674</v>
      </c>
      <c r="F1774" s="8" t="s">
        <v>5666</v>
      </c>
      <c r="G1774" s="6" t="s">
        <v>4662</v>
      </c>
      <c r="H1774" s="6" t="s">
        <v>5667</v>
      </c>
      <c r="I1774" s="6" t="s">
        <v>134</v>
      </c>
      <c r="J1774" s="6" t="s">
        <v>40</v>
      </c>
      <c r="K1774" s="6"/>
      <c r="L1774" s="7">
        <v>45516</v>
      </c>
      <c r="M1774" s="6" t="s">
        <v>25</v>
      </c>
      <c r="N1774" s="6"/>
      <c r="O1774" s="6">
        <f>HYPERLINK("https://docs.wto.org/imrd/directdoc.asp?DDFDocuments/t/G/TBTN24/UGA1944.DOCX", "https://docs.wto.org/imrd/directdoc.asp?DDFDocuments/t/G/TBTN24/UGA1944.DOCX")</f>
      </c>
      <c r="P1774" s="6">
        <f>HYPERLINK("https://docs.wto.org/imrd/directdoc.asp?DDFDocuments/u/G/TBTN24/UGA1944.DOCX", "https://docs.wto.org/imrd/directdoc.asp?DDFDocuments/u/G/TBTN24/UGA1944.DOCX")</f>
      </c>
      <c r="Q1774" s="6">
        <f>HYPERLINK("https://docs.wto.org/imrd/directdoc.asp?DDFDocuments/v/G/TBTN24/UGA1944.DOCX", "https://docs.wto.org/imrd/directdoc.asp?DDFDocuments/v/G/TBTN24/UGA1944.DOCX")</f>
      </c>
    </row>
    <row r="1775">
      <c r="A1775" s="6" t="s">
        <v>129</v>
      </c>
      <c r="B1775" s="7">
        <v>45456</v>
      </c>
      <c r="C1775" s="6">
        <f>HYPERLINK("https://eping.wto.org/en/Search?viewData= G/TBT/N/IND/329"," G/TBT/N/IND/329")</f>
      </c>
      <c r="D1775" s="8" t="s">
        <v>5675</v>
      </c>
      <c r="E1775" s="8" t="s">
        <v>5676</v>
      </c>
      <c r="F1775" s="8" t="s">
        <v>5677</v>
      </c>
      <c r="G1775" s="6" t="s">
        <v>40</v>
      </c>
      <c r="H1775" s="6" t="s">
        <v>5678</v>
      </c>
      <c r="I1775" s="6" t="s">
        <v>1220</v>
      </c>
      <c r="J1775" s="6" t="s">
        <v>40</v>
      </c>
      <c r="K1775" s="6"/>
      <c r="L1775" s="7" t="s">
        <v>40</v>
      </c>
      <c r="M1775" s="6" t="s">
        <v>25</v>
      </c>
      <c r="N1775" s="8" t="s">
        <v>5679</v>
      </c>
      <c r="O1775" s="6">
        <f>HYPERLINK("https://docs.wto.org/imrd/directdoc.asp?DDFDocuments/t/G/TBTN24/IND329.DOCX", "https://docs.wto.org/imrd/directdoc.asp?DDFDocuments/t/G/TBTN24/IND329.DOCX")</f>
      </c>
      <c r="P1775" s="6">
        <f>HYPERLINK("https://docs.wto.org/imrd/directdoc.asp?DDFDocuments/u/G/TBTN24/IND329.DOCX", "https://docs.wto.org/imrd/directdoc.asp?DDFDocuments/u/G/TBTN24/IND329.DOCX")</f>
      </c>
      <c r="Q1775" s="6">
        <f>HYPERLINK("https://docs.wto.org/imrd/directdoc.asp?DDFDocuments/v/G/TBTN24/IND329.DOCX", "https://docs.wto.org/imrd/directdoc.asp?DDFDocuments/v/G/TBTN24/IND329.DOCX")</f>
      </c>
    </row>
    <row r="1776">
      <c r="A1776" s="6" t="s">
        <v>2030</v>
      </c>
      <c r="B1776" s="7">
        <v>45456</v>
      </c>
      <c r="C1776" s="6">
        <f>HYPERLINK("https://eping.wto.org/en/Search?viewData= G/TBT/N/UGA/1951"," G/TBT/N/UGA/1951")</f>
      </c>
      <c r="D1776" s="8" t="s">
        <v>5680</v>
      </c>
      <c r="E1776" s="8" t="s">
        <v>5681</v>
      </c>
      <c r="F1776" s="8" t="s">
        <v>5666</v>
      </c>
      <c r="G1776" s="6" t="s">
        <v>4662</v>
      </c>
      <c r="H1776" s="6" t="s">
        <v>5667</v>
      </c>
      <c r="I1776" s="6" t="s">
        <v>134</v>
      </c>
      <c r="J1776" s="6" t="s">
        <v>40</v>
      </c>
      <c r="K1776" s="6"/>
      <c r="L1776" s="7">
        <v>45516</v>
      </c>
      <c r="M1776" s="6" t="s">
        <v>25</v>
      </c>
      <c r="N1776" s="6"/>
      <c r="O1776" s="6">
        <f>HYPERLINK("https://docs.wto.org/imrd/directdoc.asp?DDFDocuments/t/G/TBTN24/UGA1951.DOCX", "https://docs.wto.org/imrd/directdoc.asp?DDFDocuments/t/G/TBTN24/UGA1951.DOCX")</f>
      </c>
      <c r="P1776" s="6">
        <f>HYPERLINK("https://docs.wto.org/imrd/directdoc.asp?DDFDocuments/u/G/TBTN24/UGA1951.DOCX", "https://docs.wto.org/imrd/directdoc.asp?DDFDocuments/u/G/TBTN24/UGA1951.DOCX")</f>
      </c>
      <c r="Q1776" s="6">
        <f>HYPERLINK("https://docs.wto.org/imrd/directdoc.asp?DDFDocuments/v/G/TBTN24/UGA1951.DOCX", "https://docs.wto.org/imrd/directdoc.asp?DDFDocuments/v/G/TBTN24/UGA1951.DOCX")</f>
      </c>
    </row>
    <row r="1777">
      <c r="A1777" s="6" t="s">
        <v>160</v>
      </c>
      <c r="B1777" s="7">
        <v>45456</v>
      </c>
      <c r="C1777" s="6">
        <f>HYPERLINK("https://eping.wto.org/en/Search?viewData= G/SPS/N/USA/3459"," G/SPS/N/USA/3459")</f>
      </c>
      <c r="D1777" s="8" t="s">
        <v>5682</v>
      </c>
      <c r="E1777" s="8" t="s">
        <v>5683</v>
      </c>
      <c r="F1777" s="8" t="s">
        <v>5684</v>
      </c>
      <c r="G1777" s="6" t="s">
        <v>5685</v>
      </c>
      <c r="H1777" s="6" t="s">
        <v>40</v>
      </c>
      <c r="I1777" s="6" t="s">
        <v>2426</v>
      </c>
      <c r="J1777" s="6" t="s">
        <v>1962</v>
      </c>
      <c r="K1777" s="6" t="s">
        <v>40</v>
      </c>
      <c r="L1777" s="7" t="s">
        <v>40</v>
      </c>
      <c r="M1777" s="6" t="s">
        <v>356</v>
      </c>
      <c r="N1777" s="8" t="s">
        <v>5686</v>
      </c>
      <c r="O1777" s="6">
        <f>HYPERLINK("https://docs.wto.org/imrd/directdoc.asp?DDFDocuments/t/G/SPS/NUSA3459.DOCX", "https://docs.wto.org/imrd/directdoc.asp?DDFDocuments/t/G/SPS/NUSA3459.DOCX")</f>
      </c>
      <c r="P1777" s="6">
        <f>HYPERLINK("https://docs.wto.org/imrd/directdoc.asp?DDFDocuments/u/G/SPS/NUSA3459.DOCX", "https://docs.wto.org/imrd/directdoc.asp?DDFDocuments/u/G/SPS/NUSA3459.DOCX")</f>
      </c>
      <c r="Q1777" s="6">
        <f>HYPERLINK("https://docs.wto.org/imrd/directdoc.asp?DDFDocuments/v/G/SPS/NUSA3459.DOCX", "https://docs.wto.org/imrd/directdoc.asp?DDFDocuments/v/G/SPS/NUSA3459.DOCX")</f>
      </c>
    </row>
    <row r="1778">
      <c r="A1778" s="6" t="s">
        <v>2030</v>
      </c>
      <c r="B1778" s="7">
        <v>45456</v>
      </c>
      <c r="C1778" s="6">
        <f>HYPERLINK("https://eping.wto.org/en/Search?viewData= G/TBT/N/UGA/1948"," G/TBT/N/UGA/1948")</f>
      </c>
      <c r="D1778" s="8" t="s">
        <v>5687</v>
      </c>
      <c r="E1778" s="8" t="s">
        <v>5688</v>
      </c>
      <c r="F1778" s="8" t="s">
        <v>5689</v>
      </c>
      <c r="G1778" s="6" t="s">
        <v>5690</v>
      </c>
      <c r="H1778" s="6" t="s">
        <v>5667</v>
      </c>
      <c r="I1778" s="6" t="s">
        <v>134</v>
      </c>
      <c r="J1778" s="6" t="s">
        <v>40</v>
      </c>
      <c r="K1778" s="6"/>
      <c r="L1778" s="7">
        <v>45516</v>
      </c>
      <c r="M1778" s="6" t="s">
        <v>25</v>
      </c>
      <c r="N1778" s="6"/>
      <c r="O1778" s="6">
        <f>HYPERLINK("https://docs.wto.org/imrd/directdoc.asp?DDFDocuments/t/G/TBTN24/UGA1948.DOCX", "https://docs.wto.org/imrd/directdoc.asp?DDFDocuments/t/G/TBTN24/UGA1948.DOCX")</f>
      </c>
      <c r="P1778" s="6">
        <f>HYPERLINK("https://docs.wto.org/imrd/directdoc.asp?DDFDocuments/u/G/TBTN24/UGA1948.DOCX", "https://docs.wto.org/imrd/directdoc.asp?DDFDocuments/u/G/TBTN24/UGA1948.DOCX")</f>
      </c>
      <c r="Q1778" s="6">
        <f>HYPERLINK("https://docs.wto.org/imrd/directdoc.asp?DDFDocuments/v/G/TBTN24/UGA1948.DOCX", "https://docs.wto.org/imrd/directdoc.asp?DDFDocuments/v/G/TBTN24/UGA1948.DOCX")</f>
      </c>
    </row>
    <row r="1779">
      <c r="A1779" s="6" t="s">
        <v>129</v>
      </c>
      <c r="B1779" s="7">
        <v>45456</v>
      </c>
      <c r="C1779" s="6">
        <f>HYPERLINK("https://eping.wto.org/en/Search?viewData= G/TBT/N/IND/156/Add.2"," G/TBT/N/IND/156/Add.2")</f>
      </c>
      <c r="D1779" s="8" t="s">
        <v>5691</v>
      </c>
      <c r="E1779" s="8" t="s">
        <v>5692</v>
      </c>
      <c r="F1779" s="8" t="s">
        <v>5693</v>
      </c>
      <c r="G1779" s="6" t="s">
        <v>5694</v>
      </c>
      <c r="H1779" s="6" t="s">
        <v>40</v>
      </c>
      <c r="I1779" s="6" t="s">
        <v>280</v>
      </c>
      <c r="J1779" s="6" t="s">
        <v>40</v>
      </c>
      <c r="K1779" s="6"/>
      <c r="L1779" s="7" t="s">
        <v>40</v>
      </c>
      <c r="M1779" s="6" t="s">
        <v>76</v>
      </c>
      <c r="N1779" s="8" t="s">
        <v>5695</v>
      </c>
      <c r="O1779" s="6">
        <f>HYPERLINK("https://docs.wto.org/imrd/directdoc.asp?DDFDocuments/t/G/TBTN20/IND156A2.DOCX", "https://docs.wto.org/imrd/directdoc.asp?DDFDocuments/t/G/TBTN20/IND156A2.DOCX")</f>
      </c>
      <c r="P1779" s="6">
        <f>HYPERLINK("https://docs.wto.org/imrd/directdoc.asp?DDFDocuments/u/G/TBTN20/IND156A2.DOCX", "https://docs.wto.org/imrd/directdoc.asp?DDFDocuments/u/G/TBTN20/IND156A2.DOCX")</f>
      </c>
      <c r="Q1779" s="6">
        <f>HYPERLINK("https://docs.wto.org/imrd/directdoc.asp?DDFDocuments/v/G/TBTN20/IND156A2.DOCX", "https://docs.wto.org/imrd/directdoc.asp?DDFDocuments/v/G/TBTN20/IND156A2.DOCX")</f>
      </c>
    </row>
    <row r="1780">
      <c r="A1780" s="6" t="s">
        <v>2030</v>
      </c>
      <c r="B1780" s="7">
        <v>45456</v>
      </c>
      <c r="C1780" s="6">
        <f>HYPERLINK("https://eping.wto.org/en/Search?viewData= G/TBT/N/UGA/1949"," G/TBT/N/UGA/1949")</f>
      </c>
      <c r="D1780" s="8" t="s">
        <v>5696</v>
      </c>
      <c r="E1780" s="8" t="s">
        <v>5697</v>
      </c>
      <c r="F1780" s="8" t="s">
        <v>5666</v>
      </c>
      <c r="G1780" s="6" t="s">
        <v>4662</v>
      </c>
      <c r="H1780" s="6" t="s">
        <v>5667</v>
      </c>
      <c r="I1780" s="6" t="s">
        <v>134</v>
      </c>
      <c r="J1780" s="6" t="s">
        <v>40</v>
      </c>
      <c r="K1780" s="6"/>
      <c r="L1780" s="7">
        <v>45516</v>
      </c>
      <c r="M1780" s="6" t="s">
        <v>25</v>
      </c>
      <c r="N1780" s="6"/>
      <c r="O1780" s="6">
        <f>HYPERLINK("https://docs.wto.org/imrd/directdoc.asp?DDFDocuments/t/G/TBTN24/UGA1949.DOCX", "https://docs.wto.org/imrd/directdoc.asp?DDFDocuments/t/G/TBTN24/UGA1949.DOCX")</f>
      </c>
      <c r="P1780" s="6">
        <f>HYPERLINK("https://docs.wto.org/imrd/directdoc.asp?DDFDocuments/u/G/TBTN24/UGA1949.DOCX", "https://docs.wto.org/imrd/directdoc.asp?DDFDocuments/u/G/TBTN24/UGA1949.DOCX")</f>
      </c>
      <c r="Q1780" s="6">
        <f>HYPERLINK("https://docs.wto.org/imrd/directdoc.asp?DDFDocuments/v/G/TBTN24/UGA1949.DOCX", "https://docs.wto.org/imrd/directdoc.asp?DDFDocuments/v/G/TBTN24/UGA1949.DOCX")</f>
      </c>
    </row>
    <row r="1781">
      <c r="A1781" s="6" t="s">
        <v>595</v>
      </c>
      <c r="B1781" s="7">
        <v>45456</v>
      </c>
      <c r="C1781" s="6">
        <f>HYPERLINK("https://eping.wto.org/en/Search?viewData= G/SPS/N/SGP/83/Add.1"," G/SPS/N/SGP/83/Add.1")</f>
      </c>
      <c r="D1781" s="8" t="s">
        <v>5698</v>
      </c>
      <c r="E1781" s="8" t="s">
        <v>5699</v>
      </c>
      <c r="F1781" s="8" t="s">
        <v>5700</v>
      </c>
      <c r="G1781" s="6" t="s">
        <v>2783</v>
      </c>
      <c r="H1781" s="6" t="s">
        <v>40</v>
      </c>
      <c r="I1781" s="6" t="s">
        <v>353</v>
      </c>
      <c r="J1781" s="6" t="s">
        <v>4329</v>
      </c>
      <c r="K1781" s="6"/>
      <c r="L1781" s="7" t="s">
        <v>40</v>
      </c>
      <c r="M1781" s="6" t="s">
        <v>76</v>
      </c>
      <c r="N1781" s="6"/>
      <c r="O1781" s="6">
        <f>HYPERLINK("https://docs.wto.org/imrd/directdoc.asp?DDFDocuments/t/G/SPS/NSGP83A1.DOCX", "https://docs.wto.org/imrd/directdoc.asp?DDFDocuments/t/G/SPS/NSGP83A1.DOCX")</f>
      </c>
      <c r="P1781" s="6">
        <f>HYPERLINK("https://docs.wto.org/imrd/directdoc.asp?DDFDocuments/u/G/SPS/NSGP83A1.DOCX", "https://docs.wto.org/imrd/directdoc.asp?DDFDocuments/u/G/SPS/NSGP83A1.DOCX")</f>
      </c>
      <c r="Q1781" s="6">
        <f>HYPERLINK("https://docs.wto.org/imrd/directdoc.asp?DDFDocuments/v/G/SPS/NSGP83A1.DOCX", "https://docs.wto.org/imrd/directdoc.asp?DDFDocuments/v/G/SPS/NSGP83A1.DOCX")</f>
      </c>
    </row>
    <row r="1782">
      <c r="A1782" s="6" t="s">
        <v>450</v>
      </c>
      <c r="B1782" s="7">
        <v>45455</v>
      </c>
      <c r="C1782" s="6">
        <f>HYPERLINK("https://eping.wto.org/en/Search?viewData= G/TBT/N/EGY/3/Add.80"," G/TBT/N/EGY/3/Add.80")</f>
      </c>
      <c r="D1782" s="8" t="s">
        <v>5701</v>
      </c>
      <c r="E1782" s="8" t="s">
        <v>5702</v>
      </c>
      <c r="F1782" s="8" t="s">
        <v>3859</v>
      </c>
      <c r="G1782" s="6" t="s">
        <v>40</v>
      </c>
      <c r="H1782" s="6" t="s">
        <v>5703</v>
      </c>
      <c r="I1782" s="6" t="s">
        <v>40</v>
      </c>
      <c r="J1782" s="6" t="s">
        <v>40</v>
      </c>
      <c r="K1782" s="6"/>
      <c r="L1782" s="7" t="s">
        <v>40</v>
      </c>
      <c r="M1782" s="6" t="s">
        <v>76</v>
      </c>
      <c r="N1782" s="6"/>
      <c r="O1782" s="6">
        <f>HYPERLINK("https://docs.wto.org/imrd/directdoc.asp?DDFDocuments/t/G/TBTN05/EGY3A80.DOCX", "https://docs.wto.org/imrd/directdoc.asp?DDFDocuments/t/G/TBTN05/EGY3A80.DOCX")</f>
      </c>
      <c r="P1782" s="6">
        <f>HYPERLINK("https://docs.wto.org/imrd/directdoc.asp?DDFDocuments/u/G/TBTN05/EGY3A80.DOCX", "https://docs.wto.org/imrd/directdoc.asp?DDFDocuments/u/G/TBTN05/EGY3A80.DOCX")</f>
      </c>
      <c r="Q1782" s="6">
        <f>HYPERLINK("https://docs.wto.org/imrd/directdoc.asp?DDFDocuments/v/G/TBTN05/EGY3A80.DOCX", "https://docs.wto.org/imrd/directdoc.asp?DDFDocuments/v/G/TBTN05/EGY3A80.DOCX")</f>
      </c>
    </row>
    <row r="1783">
      <c r="A1783" s="6" t="s">
        <v>450</v>
      </c>
      <c r="B1783" s="7">
        <v>45455</v>
      </c>
      <c r="C1783" s="6">
        <f>HYPERLINK("https://eping.wto.org/en/Search?viewData= G/TBT/N/EGY/3/Add.82"," G/TBT/N/EGY/3/Add.82")</f>
      </c>
      <c r="D1783" s="8" t="s">
        <v>5704</v>
      </c>
      <c r="E1783" s="8" t="s">
        <v>5705</v>
      </c>
      <c r="F1783" s="8" t="s">
        <v>3859</v>
      </c>
      <c r="G1783" s="6" t="s">
        <v>40</v>
      </c>
      <c r="H1783" s="6" t="s">
        <v>5706</v>
      </c>
      <c r="I1783" s="6" t="s">
        <v>40</v>
      </c>
      <c r="J1783" s="6" t="s">
        <v>40</v>
      </c>
      <c r="K1783" s="6"/>
      <c r="L1783" s="7" t="s">
        <v>40</v>
      </c>
      <c r="M1783" s="6" t="s">
        <v>76</v>
      </c>
      <c r="N1783" s="6"/>
      <c r="O1783" s="6">
        <f>HYPERLINK("https://docs.wto.org/imrd/directdoc.asp?DDFDocuments/t/G/TBTN05/EGY3A82.DOCX", "https://docs.wto.org/imrd/directdoc.asp?DDFDocuments/t/G/TBTN05/EGY3A82.DOCX")</f>
      </c>
      <c r="P1783" s="6">
        <f>HYPERLINK("https://docs.wto.org/imrd/directdoc.asp?DDFDocuments/u/G/TBTN05/EGY3A82.DOCX", "https://docs.wto.org/imrd/directdoc.asp?DDFDocuments/u/G/TBTN05/EGY3A82.DOCX")</f>
      </c>
      <c r="Q1783" s="6">
        <f>HYPERLINK("https://docs.wto.org/imrd/directdoc.asp?DDFDocuments/v/G/TBTN05/EGY3A82.DOCX", "https://docs.wto.org/imrd/directdoc.asp?DDFDocuments/v/G/TBTN05/EGY3A82.DOCX")</f>
      </c>
    </row>
    <row r="1784">
      <c r="A1784" s="6" t="s">
        <v>584</v>
      </c>
      <c r="B1784" s="7">
        <v>45455</v>
      </c>
      <c r="C1784" s="6">
        <f>HYPERLINK("https://eping.wto.org/en/Search?viewData= G/SPS/N/GBR/62"," G/SPS/N/GBR/62")</f>
      </c>
      <c r="D1784" s="8" t="s">
        <v>5707</v>
      </c>
      <c r="E1784" s="8" t="s">
        <v>5708</v>
      </c>
      <c r="F1784" s="8" t="s">
        <v>5709</v>
      </c>
      <c r="G1784" s="6" t="s">
        <v>40</v>
      </c>
      <c r="H1784" s="6" t="s">
        <v>40</v>
      </c>
      <c r="I1784" s="6" t="s">
        <v>38</v>
      </c>
      <c r="J1784" s="6" t="s">
        <v>103</v>
      </c>
      <c r="K1784" s="6" t="s">
        <v>40</v>
      </c>
      <c r="L1784" s="7" t="s">
        <v>40</v>
      </c>
      <c r="M1784" s="6" t="s">
        <v>25</v>
      </c>
      <c r="N1784" s="8" t="s">
        <v>5710</v>
      </c>
      <c r="O1784" s="6">
        <f>HYPERLINK("https://docs.wto.org/imrd/directdoc.asp?DDFDocuments/t/G/SPS/NGBR62.DOCX", "https://docs.wto.org/imrd/directdoc.asp?DDFDocuments/t/G/SPS/NGBR62.DOCX")</f>
      </c>
      <c r="P1784" s="6">
        <f>HYPERLINK("https://docs.wto.org/imrd/directdoc.asp?DDFDocuments/u/G/SPS/NGBR62.DOCX", "https://docs.wto.org/imrd/directdoc.asp?DDFDocuments/u/G/SPS/NGBR62.DOCX")</f>
      </c>
      <c r="Q1784" s="6">
        <f>HYPERLINK("https://docs.wto.org/imrd/directdoc.asp?DDFDocuments/v/G/SPS/NGBR62.DOCX", "https://docs.wto.org/imrd/directdoc.asp?DDFDocuments/v/G/SPS/NGBR62.DOCX")</f>
      </c>
    </row>
    <row r="1785">
      <c r="A1785" s="6" t="s">
        <v>160</v>
      </c>
      <c r="B1785" s="7">
        <v>45455</v>
      </c>
      <c r="C1785" s="6">
        <f>HYPERLINK("https://eping.wto.org/en/Search?viewData= G/TBT/N/USA/2124"," G/TBT/N/USA/2124")</f>
      </c>
      <c r="D1785" s="8" t="s">
        <v>5711</v>
      </c>
      <c r="E1785" s="8" t="s">
        <v>5712</v>
      </c>
      <c r="F1785" s="8" t="s">
        <v>1709</v>
      </c>
      <c r="G1785" s="6" t="s">
        <v>40</v>
      </c>
      <c r="H1785" s="6" t="s">
        <v>229</v>
      </c>
      <c r="I1785" s="6" t="s">
        <v>213</v>
      </c>
      <c r="J1785" s="6" t="s">
        <v>40</v>
      </c>
      <c r="K1785" s="6"/>
      <c r="L1785" s="7">
        <v>45484</v>
      </c>
      <c r="M1785" s="6" t="s">
        <v>25</v>
      </c>
      <c r="N1785" s="8" t="s">
        <v>5713</v>
      </c>
      <c r="O1785" s="6">
        <f>HYPERLINK("https://docs.wto.org/imrd/directdoc.asp?DDFDocuments/t/G/TBTN24/USA2124.DOCX", "https://docs.wto.org/imrd/directdoc.asp?DDFDocuments/t/G/TBTN24/USA2124.DOCX")</f>
      </c>
      <c r="P1785" s="6">
        <f>HYPERLINK("https://docs.wto.org/imrd/directdoc.asp?DDFDocuments/u/G/TBTN24/USA2124.DOCX", "https://docs.wto.org/imrd/directdoc.asp?DDFDocuments/u/G/TBTN24/USA2124.DOCX")</f>
      </c>
      <c r="Q1785" s="6">
        <f>HYPERLINK("https://docs.wto.org/imrd/directdoc.asp?DDFDocuments/v/G/TBTN24/USA2124.DOCX", "https://docs.wto.org/imrd/directdoc.asp?DDFDocuments/v/G/TBTN24/USA2124.DOCX")</f>
      </c>
    </row>
    <row r="1786">
      <c r="A1786" s="6" t="s">
        <v>584</v>
      </c>
      <c r="B1786" s="7">
        <v>45455</v>
      </c>
      <c r="C1786" s="6">
        <f>HYPERLINK("https://eping.wto.org/en/Search?viewData= G/SPS/N/GBR/60"," G/SPS/N/GBR/60")</f>
      </c>
      <c r="D1786" s="8" t="s">
        <v>5714</v>
      </c>
      <c r="E1786" s="8" t="s">
        <v>5715</v>
      </c>
      <c r="F1786" s="8" t="s">
        <v>5716</v>
      </c>
      <c r="G1786" s="6" t="s">
        <v>40</v>
      </c>
      <c r="H1786" s="6" t="s">
        <v>40</v>
      </c>
      <c r="I1786" s="6" t="s">
        <v>38</v>
      </c>
      <c r="J1786" s="6" t="s">
        <v>103</v>
      </c>
      <c r="K1786" s="6" t="s">
        <v>40</v>
      </c>
      <c r="L1786" s="7" t="s">
        <v>40</v>
      </c>
      <c r="M1786" s="6" t="s">
        <v>25</v>
      </c>
      <c r="N1786" s="8" t="s">
        <v>5717</v>
      </c>
      <c r="O1786" s="6">
        <f>HYPERLINK("https://docs.wto.org/imrd/directdoc.asp?DDFDocuments/t/G/SPS/NGBR60.DOCX", "https://docs.wto.org/imrd/directdoc.asp?DDFDocuments/t/G/SPS/NGBR60.DOCX")</f>
      </c>
      <c r="P1786" s="6">
        <f>HYPERLINK("https://docs.wto.org/imrd/directdoc.asp?DDFDocuments/u/G/SPS/NGBR60.DOCX", "https://docs.wto.org/imrd/directdoc.asp?DDFDocuments/u/G/SPS/NGBR60.DOCX")</f>
      </c>
      <c r="Q1786" s="6">
        <f>HYPERLINK("https://docs.wto.org/imrd/directdoc.asp?DDFDocuments/v/G/SPS/NGBR60.DOCX", "https://docs.wto.org/imrd/directdoc.asp?DDFDocuments/v/G/SPS/NGBR60.DOCX")</f>
      </c>
    </row>
    <row r="1787">
      <c r="A1787" s="6" t="s">
        <v>2030</v>
      </c>
      <c r="B1787" s="7">
        <v>45455</v>
      </c>
      <c r="C1787" s="6">
        <f>HYPERLINK("https://eping.wto.org/en/Search?viewData= G/TBT/N/UGA/1946"," G/TBT/N/UGA/1946")</f>
      </c>
      <c r="D1787" s="8" t="s">
        <v>5718</v>
      </c>
      <c r="E1787" s="8" t="s">
        <v>4202</v>
      </c>
      <c r="F1787" s="8" t="s">
        <v>5719</v>
      </c>
      <c r="G1787" s="6" t="s">
        <v>5720</v>
      </c>
      <c r="H1787" s="6" t="s">
        <v>5667</v>
      </c>
      <c r="I1787" s="6" t="s">
        <v>134</v>
      </c>
      <c r="J1787" s="6" t="s">
        <v>40</v>
      </c>
      <c r="K1787" s="6"/>
      <c r="L1787" s="7">
        <v>45515</v>
      </c>
      <c r="M1787" s="6" t="s">
        <v>25</v>
      </c>
      <c r="N1787" s="6"/>
      <c r="O1787" s="6">
        <f>HYPERLINK("https://docs.wto.org/imrd/directdoc.asp?DDFDocuments/t/G/TBTN24/UGA1946.DOCX", "https://docs.wto.org/imrd/directdoc.asp?DDFDocuments/t/G/TBTN24/UGA1946.DOCX")</f>
      </c>
      <c r="P1787" s="6">
        <f>HYPERLINK("https://docs.wto.org/imrd/directdoc.asp?DDFDocuments/u/G/TBTN24/UGA1946.DOCX", "https://docs.wto.org/imrd/directdoc.asp?DDFDocuments/u/G/TBTN24/UGA1946.DOCX")</f>
      </c>
      <c r="Q1787" s="6">
        <f>HYPERLINK("https://docs.wto.org/imrd/directdoc.asp?DDFDocuments/v/G/TBTN24/UGA1946.DOCX", "https://docs.wto.org/imrd/directdoc.asp?DDFDocuments/v/G/TBTN24/UGA1946.DOCX")</f>
      </c>
    </row>
    <row r="1788">
      <c r="A1788" s="6" t="s">
        <v>515</v>
      </c>
      <c r="B1788" s="7">
        <v>45455</v>
      </c>
      <c r="C1788" s="6">
        <f>HYPERLINK("https://eping.wto.org/en/Search?viewData= G/SPS/N/EU/772"," G/SPS/N/EU/772")</f>
      </c>
      <c r="D1788" s="8" t="s">
        <v>5721</v>
      </c>
      <c r="E1788" s="8" t="s">
        <v>5722</v>
      </c>
      <c r="F1788" s="8" t="s">
        <v>479</v>
      </c>
      <c r="G1788" s="6" t="s">
        <v>40</v>
      </c>
      <c r="H1788" s="6" t="s">
        <v>40</v>
      </c>
      <c r="I1788" s="6" t="s">
        <v>38</v>
      </c>
      <c r="J1788" s="6" t="s">
        <v>5723</v>
      </c>
      <c r="K1788" s="6"/>
      <c r="L1788" s="7" t="s">
        <v>40</v>
      </c>
      <c r="M1788" s="6" t="s">
        <v>25</v>
      </c>
      <c r="N1788" s="8" t="s">
        <v>5724</v>
      </c>
      <c r="O1788" s="6">
        <f>HYPERLINK("https://docs.wto.org/imrd/directdoc.asp?DDFDocuments/t/G/SPS/NEU772.DOCX", "https://docs.wto.org/imrd/directdoc.asp?DDFDocuments/t/G/SPS/NEU772.DOCX")</f>
      </c>
      <c r="P1788" s="6">
        <f>HYPERLINK("https://docs.wto.org/imrd/directdoc.asp?DDFDocuments/u/G/SPS/NEU772.DOCX", "https://docs.wto.org/imrd/directdoc.asp?DDFDocuments/u/G/SPS/NEU772.DOCX")</f>
      </c>
      <c r="Q1788" s="6">
        <f>HYPERLINK("https://docs.wto.org/imrd/directdoc.asp?DDFDocuments/v/G/SPS/NEU772.DOCX", "https://docs.wto.org/imrd/directdoc.asp?DDFDocuments/v/G/SPS/NEU772.DOCX")</f>
      </c>
    </row>
    <row r="1789">
      <c r="A1789" s="6" t="s">
        <v>5725</v>
      </c>
      <c r="B1789" s="7">
        <v>45455</v>
      </c>
      <c r="C1789" s="6">
        <f>HYPERLINK("https://eping.wto.org/en/Search?viewData= G/TBT/N/SVN/127"," G/TBT/N/SVN/127")</f>
      </c>
      <c r="D1789" s="8" t="s">
        <v>5726</v>
      </c>
      <c r="E1789" s="8" t="s">
        <v>5727</v>
      </c>
      <c r="F1789" s="8" t="s">
        <v>5728</v>
      </c>
      <c r="G1789" s="6" t="s">
        <v>1315</v>
      </c>
      <c r="H1789" s="6" t="s">
        <v>1316</v>
      </c>
      <c r="I1789" s="6" t="s">
        <v>1815</v>
      </c>
      <c r="J1789" s="6" t="s">
        <v>40</v>
      </c>
      <c r="K1789" s="6"/>
      <c r="L1789" s="7">
        <v>45515</v>
      </c>
      <c r="M1789" s="6" t="s">
        <v>25</v>
      </c>
      <c r="N1789" s="8" t="s">
        <v>5729</v>
      </c>
      <c r="O1789" s="6">
        <f>HYPERLINK("https://docs.wto.org/imrd/directdoc.asp?DDFDocuments/t/G/TBTN24/SVN127.DOCX", "https://docs.wto.org/imrd/directdoc.asp?DDFDocuments/t/G/TBTN24/SVN127.DOCX")</f>
      </c>
      <c r="P1789" s="6">
        <f>HYPERLINK("https://docs.wto.org/imrd/directdoc.asp?DDFDocuments/u/G/TBTN24/SVN127.DOCX", "https://docs.wto.org/imrd/directdoc.asp?DDFDocuments/u/G/TBTN24/SVN127.DOCX")</f>
      </c>
      <c r="Q1789" s="6">
        <f>HYPERLINK("https://docs.wto.org/imrd/directdoc.asp?DDFDocuments/v/G/TBTN24/SVN127.DOCX", "https://docs.wto.org/imrd/directdoc.asp?DDFDocuments/v/G/TBTN24/SVN127.DOCX")</f>
      </c>
    </row>
    <row r="1790">
      <c r="A1790" s="6" t="s">
        <v>307</v>
      </c>
      <c r="B1790" s="7">
        <v>45455</v>
      </c>
      <c r="C1790" s="6">
        <f>HYPERLINK("https://eping.wto.org/en/Search?viewData= G/SPS/N/CAN/1405/Add.1"," G/SPS/N/CAN/1405/Add.1")</f>
      </c>
      <c r="D1790" s="8" t="s">
        <v>5730</v>
      </c>
      <c r="E1790" s="8" t="s">
        <v>5731</v>
      </c>
      <c r="F1790" s="8" t="s">
        <v>5732</v>
      </c>
      <c r="G1790" s="6" t="s">
        <v>40</v>
      </c>
      <c r="H1790" s="6" t="s">
        <v>5733</v>
      </c>
      <c r="I1790" s="6" t="s">
        <v>38</v>
      </c>
      <c r="J1790" s="6" t="s">
        <v>5734</v>
      </c>
      <c r="K1790" s="6"/>
      <c r="L1790" s="7" t="s">
        <v>40</v>
      </c>
      <c r="M1790" s="6" t="s">
        <v>76</v>
      </c>
      <c r="N1790" s="6"/>
      <c r="O1790" s="6">
        <f>HYPERLINK("https://docs.wto.org/imrd/directdoc.asp?DDFDocuments/t/G/SPS/NCAN1405A1.DOCX", "https://docs.wto.org/imrd/directdoc.asp?DDFDocuments/t/G/SPS/NCAN1405A1.DOCX")</f>
      </c>
      <c r="P1790" s="6">
        <f>HYPERLINK("https://docs.wto.org/imrd/directdoc.asp?DDFDocuments/u/G/SPS/NCAN1405A1.DOCX", "https://docs.wto.org/imrd/directdoc.asp?DDFDocuments/u/G/SPS/NCAN1405A1.DOCX")</f>
      </c>
      <c r="Q1790" s="6">
        <f>HYPERLINK("https://docs.wto.org/imrd/directdoc.asp?DDFDocuments/v/G/SPS/NCAN1405A1.DOCX", "https://docs.wto.org/imrd/directdoc.asp?DDFDocuments/v/G/SPS/NCAN1405A1.DOCX")</f>
      </c>
    </row>
    <row r="1791">
      <c r="A1791" s="6" t="s">
        <v>2030</v>
      </c>
      <c r="B1791" s="7">
        <v>45455</v>
      </c>
      <c r="C1791" s="6">
        <f>HYPERLINK("https://eping.wto.org/en/Search?viewData= G/TBT/N/UGA/1947"," G/TBT/N/UGA/1947")</f>
      </c>
      <c r="D1791" s="8" t="s">
        <v>5735</v>
      </c>
      <c r="E1791" s="8" t="s">
        <v>5736</v>
      </c>
      <c r="F1791" s="8" t="s">
        <v>5666</v>
      </c>
      <c r="G1791" s="6" t="s">
        <v>4662</v>
      </c>
      <c r="H1791" s="6" t="s">
        <v>5667</v>
      </c>
      <c r="I1791" s="6" t="s">
        <v>134</v>
      </c>
      <c r="J1791" s="6" t="s">
        <v>40</v>
      </c>
      <c r="K1791" s="6"/>
      <c r="L1791" s="7">
        <v>45515</v>
      </c>
      <c r="M1791" s="6" t="s">
        <v>25</v>
      </c>
      <c r="N1791" s="6"/>
      <c r="O1791" s="6">
        <f>HYPERLINK("https://docs.wto.org/imrd/directdoc.asp?DDFDocuments/t/G/TBTN24/UGA1947.DOCX", "https://docs.wto.org/imrd/directdoc.asp?DDFDocuments/t/G/TBTN24/UGA1947.DOCX")</f>
      </c>
      <c r="P1791" s="6">
        <f>HYPERLINK("https://docs.wto.org/imrd/directdoc.asp?DDFDocuments/u/G/TBTN24/UGA1947.DOCX", "https://docs.wto.org/imrd/directdoc.asp?DDFDocuments/u/G/TBTN24/UGA1947.DOCX")</f>
      </c>
      <c r="Q1791" s="6">
        <f>HYPERLINK("https://docs.wto.org/imrd/directdoc.asp?DDFDocuments/v/G/TBTN24/UGA1947.DOCX", "https://docs.wto.org/imrd/directdoc.asp?DDFDocuments/v/G/TBTN24/UGA1947.DOCX")</f>
      </c>
    </row>
    <row r="1792">
      <c r="A1792" s="6" t="s">
        <v>358</v>
      </c>
      <c r="B1792" s="7">
        <v>45455</v>
      </c>
      <c r="C1792" s="6">
        <f>HYPERLINK("https://eping.wto.org/en/Search?viewData= G/SPS/N/NZL/769"," G/SPS/N/NZL/769")</f>
      </c>
      <c r="D1792" s="8" t="s">
        <v>5737</v>
      </c>
      <c r="E1792" s="8" t="s">
        <v>5738</v>
      </c>
      <c r="F1792" s="8" t="s">
        <v>5739</v>
      </c>
      <c r="G1792" s="6" t="s">
        <v>5740</v>
      </c>
      <c r="H1792" s="6" t="s">
        <v>40</v>
      </c>
      <c r="I1792" s="6" t="s">
        <v>38</v>
      </c>
      <c r="J1792" s="6" t="s">
        <v>103</v>
      </c>
      <c r="K1792" s="6"/>
      <c r="L1792" s="7">
        <v>45515</v>
      </c>
      <c r="M1792" s="6" t="s">
        <v>25</v>
      </c>
      <c r="N1792" s="8" t="s">
        <v>5741</v>
      </c>
      <c r="O1792" s="6">
        <f>HYPERLINK("https://docs.wto.org/imrd/directdoc.asp?DDFDocuments/t/G/SPS/NNZL769.DOCX", "https://docs.wto.org/imrd/directdoc.asp?DDFDocuments/t/G/SPS/NNZL769.DOCX")</f>
      </c>
      <c r="P1792" s="6">
        <f>HYPERLINK("https://docs.wto.org/imrd/directdoc.asp?DDFDocuments/u/G/SPS/NNZL769.DOCX", "https://docs.wto.org/imrd/directdoc.asp?DDFDocuments/u/G/SPS/NNZL769.DOCX")</f>
      </c>
      <c r="Q1792" s="6">
        <f>HYPERLINK("https://docs.wto.org/imrd/directdoc.asp?DDFDocuments/v/G/SPS/NNZL769.DOCX", "https://docs.wto.org/imrd/directdoc.asp?DDFDocuments/v/G/SPS/NNZL769.DOCX")</f>
      </c>
    </row>
    <row r="1793">
      <c r="A1793" s="6" t="s">
        <v>584</v>
      </c>
      <c r="B1793" s="7">
        <v>45455</v>
      </c>
      <c r="C1793" s="6">
        <f>HYPERLINK("https://eping.wto.org/en/Search?viewData= G/SPS/N/GBR/61"," G/SPS/N/GBR/61")</f>
      </c>
      <c r="D1793" s="8" t="s">
        <v>5742</v>
      </c>
      <c r="E1793" s="8" t="s">
        <v>5743</v>
      </c>
      <c r="F1793" s="8" t="s">
        <v>5744</v>
      </c>
      <c r="G1793" s="6" t="s">
        <v>40</v>
      </c>
      <c r="H1793" s="6" t="s">
        <v>40</v>
      </c>
      <c r="I1793" s="6" t="s">
        <v>38</v>
      </c>
      <c r="J1793" s="6" t="s">
        <v>103</v>
      </c>
      <c r="K1793" s="6" t="s">
        <v>40</v>
      </c>
      <c r="L1793" s="7" t="s">
        <v>40</v>
      </c>
      <c r="M1793" s="6" t="s">
        <v>25</v>
      </c>
      <c r="N1793" s="8" t="s">
        <v>5745</v>
      </c>
      <c r="O1793" s="6">
        <f>HYPERLINK("https://docs.wto.org/imrd/directdoc.asp?DDFDocuments/t/G/SPS/NGBR61.DOCX", "https://docs.wto.org/imrd/directdoc.asp?DDFDocuments/t/G/SPS/NGBR61.DOCX")</f>
      </c>
      <c r="P1793" s="6">
        <f>HYPERLINK("https://docs.wto.org/imrd/directdoc.asp?DDFDocuments/u/G/SPS/NGBR61.DOCX", "https://docs.wto.org/imrd/directdoc.asp?DDFDocuments/u/G/SPS/NGBR61.DOCX")</f>
      </c>
      <c r="Q1793" s="6">
        <f>HYPERLINK("https://docs.wto.org/imrd/directdoc.asp?DDFDocuments/v/G/SPS/NGBR61.DOCX", "https://docs.wto.org/imrd/directdoc.asp?DDFDocuments/v/G/SPS/NGBR61.DOCX")</f>
      </c>
    </row>
    <row r="1794">
      <c r="A1794" s="6" t="s">
        <v>450</v>
      </c>
      <c r="B1794" s="7">
        <v>45455</v>
      </c>
      <c r="C1794" s="6">
        <f>HYPERLINK("https://eping.wto.org/en/Search?viewData= G/TBT/N/EGY/3/Add.81"," G/TBT/N/EGY/3/Add.81")</f>
      </c>
      <c r="D1794" s="8" t="s">
        <v>5746</v>
      </c>
      <c r="E1794" s="8" t="s">
        <v>5747</v>
      </c>
      <c r="F1794" s="8" t="s">
        <v>3859</v>
      </c>
      <c r="G1794" s="6" t="s">
        <v>40</v>
      </c>
      <c r="H1794" s="6" t="s">
        <v>5706</v>
      </c>
      <c r="I1794" s="6" t="s">
        <v>40</v>
      </c>
      <c r="J1794" s="6" t="s">
        <v>40</v>
      </c>
      <c r="K1794" s="6"/>
      <c r="L1794" s="7" t="s">
        <v>40</v>
      </c>
      <c r="M1794" s="6" t="s">
        <v>76</v>
      </c>
      <c r="N1794" s="6"/>
      <c r="O1794" s="6">
        <f>HYPERLINK("https://docs.wto.org/imrd/directdoc.asp?DDFDocuments/t/G/TBTN05/EGY3A81.DOCX", "https://docs.wto.org/imrd/directdoc.asp?DDFDocuments/t/G/TBTN05/EGY3A81.DOCX")</f>
      </c>
      <c r="P1794" s="6">
        <f>HYPERLINK("https://docs.wto.org/imrd/directdoc.asp?DDFDocuments/u/G/TBTN05/EGY3A81.DOCX", "https://docs.wto.org/imrd/directdoc.asp?DDFDocuments/u/G/TBTN05/EGY3A81.DOCX")</f>
      </c>
      <c r="Q1794" s="6">
        <f>HYPERLINK("https://docs.wto.org/imrd/directdoc.asp?DDFDocuments/v/G/TBTN05/EGY3A81.DOCX", "https://docs.wto.org/imrd/directdoc.asp?DDFDocuments/v/G/TBTN05/EGY3A81.DOCX")</f>
      </c>
    </row>
    <row r="1795">
      <c r="A1795" s="6" t="s">
        <v>160</v>
      </c>
      <c r="B1795" s="7">
        <v>45455</v>
      </c>
      <c r="C1795" s="6">
        <f>HYPERLINK("https://eping.wto.org/en/Search?viewData= G/TBT/N/USA/2098/Add.2"," G/TBT/N/USA/2098/Add.2")</f>
      </c>
      <c r="D1795" s="8" t="s">
        <v>3355</v>
      </c>
      <c r="E1795" s="8" t="s">
        <v>5748</v>
      </c>
      <c r="F1795" s="8" t="s">
        <v>3357</v>
      </c>
      <c r="G1795" s="6" t="s">
        <v>40</v>
      </c>
      <c r="H1795" s="6" t="s">
        <v>3358</v>
      </c>
      <c r="I1795" s="6" t="s">
        <v>147</v>
      </c>
      <c r="J1795" s="6" t="s">
        <v>40</v>
      </c>
      <c r="K1795" s="6"/>
      <c r="L1795" s="7">
        <v>45495</v>
      </c>
      <c r="M1795" s="6" t="s">
        <v>76</v>
      </c>
      <c r="N1795" s="6"/>
      <c r="O1795" s="6">
        <f>HYPERLINK("https://docs.wto.org/imrd/directdoc.asp?DDFDocuments/t/G/TBTN24/USA2098A2.DOCX", "https://docs.wto.org/imrd/directdoc.asp?DDFDocuments/t/G/TBTN24/USA2098A2.DOCX")</f>
      </c>
      <c r="P1795" s="6">
        <f>HYPERLINK("https://docs.wto.org/imrd/directdoc.asp?DDFDocuments/u/G/TBTN24/USA2098A2.DOCX", "https://docs.wto.org/imrd/directdoc.asp?DDFDocuments/u/G/TBTN24/USA2098A2.DOCX")</f>
      </c>
      <c r="Q1795" s="6">
        <f>HYPERLINK("https://docs.wto.org/imrd/directdoc.asp?DDFDocuments/v/G/TBTN24/USA2098A2.DOCX", "https://docs.wto.org/imrd/directdoc.asp?DDFDocuments/v/G/TBTN24/USA2098A2.DOCX")</f>
      </c>
    </row>
    <row r="1796">
      <c r="A1796" s="6" t="s">
        <v>412</v>
      </c>
      <c r="B1796" s="7">
        <v>45455</v>
      </c>
      <c r="C1796" s="6">
        <f>HYPERLINK("https://eping.wto.org/en/Search?viewData= G/SPS/N/COL/351/Add.1"," G/SPS/N/COL/351/Add.1")</f>
      </c>
      <c r="D1796" s="8" t="s">
        <v>5749</v>
      </c>
      <c r="E1796" s="8" t="s">
        <v>5750</v>
      </c>
      <c r="F1796" s="8" t="s">
        <v>1418</v>
      </c>
      <c r="G1796" s="6" t="s">
        <v>1419</v>
      </c>
      <c r="H1796" s="6" t="s">
        <v>40</v>
      </c>
      <c r="I1796" s="6" t="s">
        <v>1420</v>
      </c>
      <c r="J1796" s="6" t="s">
        <v>5751</v>
      </c>
      <c r="K1796" s="6"/>
      <c r="L1796" s="7">
        <v>45458</v>
      </c>
      <c r="M1796" s="6" t="s">
        <v>76</v>
      </c>
      <c r="N1796" s="8" t="s">
        <v>5752</v>
      </c>
      <c r="O1796" s="6">
        <f>HYPERLINK("https://docs.wto.org/imrd/directdoc.asp?DDFDocuments/t/G/SPS/NCOL351A1.DOCX", "https://docs.wto.org/imrd/directdoc.asp?DDFDocuments/t/G/SPS/NCOL351A1.DOCX")</f>
      </c>
      <c r="P1796" s="6">
        <f>HYPERLINK("https://docs.wto.org/imrd/directdoc.asp?DDFDocuments/u/G/SPS/NCOL351A1.DOCX", "https://docs.wto.org/imrd/directdoc.asp?DDFDocuments/u/G/SPS/NCOL351A1.DOCX")</f>
      </c>
      <c r="Q1796" s="6">
        <f>HYPERLINK("https://docs.wto.org/imrd/directdoc.asp?DDFDocuments/v/G/SPS/NCOL351A1.DOCX", "https://docs.wto.org/imrd/directdoc.asp?DDFDocuments/v/G/SPS/NCOL351A1.DOCX")</f>
      </c>
    </row>
    <row r="1797">
      <c r="A1797" s="6" t="s">
        <v>584</v>
      </c>
      <c r="B1797" s="7">
        <v>45455</v>
      </c>
      <c r="C1797" s="6">
        <f>HYPERLINK("https://eping.wto.org/en/Search?viewData= G/SPS/N/GBR/59"," G/SPS/N/GBR/59")</f>
      </c>
      <c r="D1797" s="8" t="s">
        <v>5753</v>
      </c>
      <c r="E1797" s="8" t="s">
        <v>5754</v>
      </c>
      <c r="F1797" s="8" t="s">
        <v>5755</v>
      </c>
      <c r="G1797" s="6" t="s">
        <v>40</v>
      </c>
      <c r="H1797" s="6" t="s">
        <v>40</v>
      </c>
      <c r="I1797" s="6" t="s">
        <v>38</v>
      </c>
      <c r="J1797" s="6" t="s">
        <v>103</v>
      </c>
      <c r="K1797" s="6" t="s">
        <v>40</v>
      </c>
      <c r="L1797" s="7" t="s">
        <v>40</v>
      </c>
      <c r="M1797" s="6" t="s">
        <v>25</v>
      </c>
      <c r="N1797" s="8" t="s">
        <v>5756</v>
      </c>
      <c r="O1797" s="6">
        <f>HYPERLINK("https://docs.wto.org/imrd/directdoc.asp?DDFDocuments/t/G/SPS/NGBR59.DOCX", "https://docs.wto.org/imrd/directdoc.asp?DDFDocuments/t/G/SPS/NGBR59.DOCX")</f>
      </c>
      <c r="P1797" s="6">
        <f>HYPERLINK("https://docs.wto.org/imrd/directdoc.asp?DDFDocuments/u/G/SPS/NGBR59.DOCX", "https://docs.wto.org/imrd/directdoc.asp?DDFDocuments/u/G/SPS/NGBR59.DOCX")</f>
      </c>
      <c r="Q1797" s="6">
        <f>HYPERLINK("https://docs.wto.org/imrd/directdoc.asp?DDFDocuments/v/G/SPS/NGBR59.DOCX", "https://docs.wto.org/imrd/directdoc.asp?DDFDocuments/v/G/SPS/NGBR59.DOCX")</f>
      </c>
    </row>
    <row r="1798">
      <c r="A1798" s="6" t="s">
        <v>160</v>
      </c>
      <c r="B1798" s="7">
        <v>45455</v>
      </c>
      <c r="C1798" s="6">
        <f>HYPERLINK("https://eping.wto.org/en/Search?viewData= G/TBT/N/USA/2125"," G/TBT/N/USA/2125")</f>
      </c>
      <c r="D1798" s="8" t="s">
        <v>5757</v>
      </c>
      <c r="E1798" s="8" t="s">
        <v>5758</v>
      </c>
      <c r="F1798" s="8" t="s">
        <v>1709</v>
      </c>
      <c r="G1798" s="6" t="s">
        <v>40</v>
      </c>
      <c r="H1798" s="6" t="s">
        <v>229</v>
      </c>
      <c r="I1798" s="6" t="s">
        <v>213</v>
      </c>
      <c r="J1798" s="6" t="s">
        <v>40</v>
      </c>
      <c r="K1798" s="6"/>
      <c r="L1798" s="7">
        <v>45484</v>
      </c>
      <c r="M1798" s="6" t="s">
        <v>25</v>
      </c>
      <c r="N1798" s="8" t="s">
        <v>5759</v>
      </c>
      <c r="O1798" s="6">
        <f>HYPERLINK("https://docs.wto.org/imrd/directdoc.asp?DDFDocuments/t/G/TBTN24/USA2125.DOCX", "https://docs.wto.org/imrd/directdoc.asp?DDFDocuments/t/G/TBTN24/USA2125.DOCX")</f>
      </c>
      <c r="P1798" s="6">
        <f>HYPERLINK("https://docs.wto.org/imrd/directdoc.asp?DDFDocuments/u/G/TBTN24/USA2125.DOCX", "https://docs.wto.org/imrd/directdoc.asp?DDFDocuments/u/G/TBTN24/USA2125.DOCX")</f>
      </c>
      <c r="Q1798" s="6">
        <f>HYPERLINK("https://docs.wto.org/imrd/directdoc.asp?DDFDocuments/v/G/TBTN24/USA2125.DOCX", "https://docs.wto.org/imrd/directdoc.asp?DDFDocuments/v/G/TBTN24/USA2125.DOCX")</f>
      </c>
    </row>
    <row r="1799">
      <c r="A1799" s="6" t="s">
        <v>198</v>
      </c>
      <c r="B1799" s="7">
        <v>45455</v>
      </c>
      <c r="C1799" s="6">
        <f>HYPERLINK("https://eping.wto.org/en/Search?viewData= G/SPS/N/CHL/792"," G/SPS/N/CHL/792")</f>
      </c>
      <c r="D1799" s="8" t="s">
        <v>5760</v>
      </c>
      <c r="E1799" s="8" t="s">
        <v>5761</v>
      </c>
      <c r="F1799" s="8" t="s">
        <v>5762</v>
      </c>
      <c r="G1799" s="6" t="s">
        <v>40</v>
      </c>
      <c r="H1799" s="6" t="s">
        <v>40</v>
      </c>
      <c r="I1799" s="6" t="s">
        <v>353</v>
      </c>
      <c r="J1799" s="6" t="s">
        <v>1962</v>
      </c>
      <c r="K1799" s="6" t="s">
        <v>40</v>
      </c>
      <c r="L1799" s="7">
        <v>45515</v>
      </c>
      <c r="M1799" s="6" t="s">
        <v>25</v>
      </c>
      <c r="N1799" s="8" t="s">
        <v>5763</v>
      </c>
      <c r="O1799" s="6">
        <f>HYPERLINK("https://docs.wto.org/imrd/directdoc.asp?DDFDocuments/t/G/SPS/NCHL792.DOCX", "https://docs.wto.org/imrd/directdoc.asp?DDFDocuments/t/G/SPS/NCHL792.DOCX")</f>
      </c>
      <c r="P1799" s="6">
        <f>HYPERLINK("https://docs.wto.org/imrd/directdoc.asp?DDFDocuments/u/G/SPS/NCHL792.DOCX", "https://docs.wto.org/imrd/directdoc.asp?DDFDocuments/u/G/SPS/NCHL792.DOCX")</f>
      </c>
      <c r="Q1799" s="6">
        <f>HYPERLINK("https://docs.wto.org/imrd/directdoc.asp?DDFDocuments/v/G/SPS/NCHL792.DOCX", "https://docs.wto.org/imrd/directdoc.asp?DDFDocuments/v/G/SPS/NCHL792.DOCX")</f>
      </c>
    </row>
    <row r="1800">
      <c r="A1800" s="6" t="s">
        <v>136</v>
      </c>
      <c r="B1800" s="7">
        <v>45455</v>
      </c>
      <c r="C1800" s="6">
        <f>HYPERLINK("https://eping.wto.org/en/Search?viewData= G/TBT/N/PER/160"," G/TBT/N/PER/160")</f>
      </c>
      <c r="D1800" s="8" t="s">
        <v>5764</v>
      </c>
      <c r="E1800" s="8" t="s">
        <v>5765</v>
      </c>
      <c r="F1800" s="8" t="s">
        <v>5766</v>
      </c>
      <c r="G1800" s="6" t="s">
        <v>5767</v>
      </c>
      <c r="H1800" s="6" t="s">
        <v>5768</v>
      </c>
      <c r="I1800" s="6" t="s">
        <v>1220</v>
      </c>
      <c r="J1800" s="6" t="s">
        <v>40</v>
      </c>
      <c r="K1800" s="6"/>
      <c r="L1800" s="7">
        <v>45515</v>
      </c>
      <c r="M1800" s="6" t="s">
        <v>25</v>
      </c>
      <c r="N1800" s="8" t="s">
        <v>5769</v>
      </c>
      <c r="O1800" s="6">
        <f>HYPERLINK("https://docs.wto.org/imrd/directdoc.asp?DDFDocuments/t/G/TBTN24/PER160.DOCX", "https://docs.wto.org/imrd/directdoc.asp?DDFDocuments/t/G/TBTN24/PER160.DOCX")</f>
      </c>
      <c r="P1800" s="6">
        <f>HYPERLINK("https://docs.wto.org/imrd/directdoc.asp?DDFDocuments/u/G/TBTN24/PER160.DOCX", "https://docs.wto.org/imrd/directdoc.asp?DDFDocuments/u/G/TBTN24/PER160.DOCX")</f>
      </c>
      <c r="Q1800" s="6">
        <f>HYPERLINK("https://docs.wto.org/imrd/directdoc.asp?DDFDocuments/v/G/TBTN24/PER160.DOCX", "https://docs.wto.org/imrd/directdoc.asp?DDFDocuments/v/G/TBTN24/PER160.DOCX")</f>
      </c>
    </row>
  </sheetData>
  <headerFooter/>
</worksheet>
</file>